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9M 2024\3. Suplemento Financiero\Sin vinculos para la página web\"/>
    </mc:Choice>
  </mc:AlternateContent>
  <xr:revisionPtr revIDLastSave="0" documentId="13_ncr:1_{737FEF03-D28B-4AD9-B893-41F00C67D655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Financial Supplement&gt;&gt;&gt;" sheetId="18" r:id="rId1"/>
    <sheet name="IFRS 17&amp;9&gt;&gt;&gt;" sheetId="37" r:id="rId2"/>
    <sheet name="BS - IFRS 17&amp;9" sheetId="26" r:id="rId3"/>
    <sheet name="P&amp;L - IFRS 17&amp;9" sheetId="25" r:id="rId4"/>
    <sheet name="LoB - IFRS 17&amp;9" sheetId="13" r:id="rId5"/>
    <sheet name="Motor - IFRS 17&amp;9" sheetId="14" r:id="rId6"/>
    <sheet name="Home - IFRS 17&amp;9" sheetId="28" r:id="rId7"/>
    <sheet name="Health - IFRS 17&amp;9" sheetId="29" r:id="rId8"/>
    <sheet name="Other - IFRS 17&amp;9" sheetId="30" r:id="rId9"/>
    <sheet name="IFRS 4&gt;&gt;&gt;" sheetId="38" r:id="rId10"/>
    <sheet name="BS - IFRS 4" sheetId="40" r:id="rId11"/>
    <sheet name="P&amp;L - IFRS 4" sheetId="31" r:id="rId12"/>
    <sheet name="LoB - IFRS 4" sheetId="32" r:id="rId13"/>
    <sheet name="Motor - IFRS 4" sheetId="33" r:id="rId14"/>
    <sheet name="Home - IFRS 4" sheetId="34" r:id="rId15"/>
    <sheet name="Health  - IFRS 4" sheetId="35" r:id="rId16"/>
    <sheet name="Other - IFRS 4" sheetId="36" r:id="rId17"/>
    <sheet name="P&amp;L reconciliation IFRS 17&amp;9" sheetId="41" r:id="rId18"/>
    <sheet name="Combined Ratio" sheetId="39" r:id="rId19"/>
    <sheet name="Investments" sheetId="19" r:id="rId20"/>
    <sheet name="SII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'BS - IFRS 17&amp;9'!$B$1:$C$39</definedName>
    <definedName name="_xlnm.Print_Area" localSheetId="10">'BS - IFRS 4'!$B$1:$H$37</definedName>
    <definedName name="_xlnm.Print_Area" localSheetId="7">'Health - IFRS 17&amp;9'!$B$1:$N$3</definedName>
    <definedName name="_xlnm.Print_Area" localSheetId="6">'Home - IFRS 17&amp;9'!$B$1:$N$3</definedName>
    <definedName name="_xlnm.Print_Area" localSheetId="5">'Motor - IFRS 17&amp;9'!$B$1:$N$3</definedName>
    <definedName name="_xlnm.Print_Area" localSheetId="13">'Motor - IFRS 4'!$B$1:$AG$18</definedName>
    <definedName name="_xlnm.Print_Area" localSheetId="8">'Other - IFRS 17&amp;9'!$B$1:$N$3</definedName>
    <definedName name="_xlnm.Print_Area" localSheetId="16">'Other - IFRS 4'!$B$1:$AG$19</definedName>
    <definedName name="_xlnm.Print_Area" localSheetId="3">'P&amp;L - IFRS 17&amp;9'!$B$1:$M$29</definedName>
    <definedName name="_xlnm.Print_Area" localSheetId="11">'P&amp;L - IFRS 4'!$B$1:$AF$26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1" l="1"/>
  <c r="J15" i="41"/>
  <c r="I15" i="41"/>
  <c r="H15" i="41"/>
  <c r="G15" i="41"/>
  <c r="F15" i="41"/>
  <c r="E15" i="41"/>
  <c r="L8" i="41"/>
  <c r="L15" i="41" s="1"/>
  <c r="K8" i="41"/>
  <c r="J8" i="41"/>
  <c r="I8" i="41"/>
  <c r="H8" i="41"/>
  <c r="G8" i="41"/>
  <c r="F8" i="41"/>
  <c r="E8" i="41"/>
  <c r="AQ19" i="36" l="1"/>
  <c r="AQ18" i="36"/>
  <c r="AQ17" i="36"/>
  <c r="AQ11" i="36"/>
  <c r="AQ10" i="36"/>
  <c r="AQ9" i="36"/>
  <c r="AQ8" i="36"/>
  <c r="AQ7" i="36"/>
  <c r="AQ6" i="36"/>
  <c r="AQ5" i="36"/>
  <c r="X19" i="36"/>
  <c r="X18" i="36"/>
  <c r="X17" i="36"/>
  <c r="X11" i="36"/>
  <c r="AR10" i="36"/>
  <c r="Z9" i="36"/>
  <c r="Z8" i="36"/>
  <c r="Z7" i="36"/>
  <c r="Z5" i="36"/>
  <c r="AQ18" i="35"/>
  <c r="AQ17" i="35"/>
  <c r="AQ16" i="35"/>
  <c r="AQ10" i="35"/>
  <c r="AQ9" i="35"/>
  <c r="AQ8" i="35"/>
  <c r="AQ7" i="35"/>
  <c r="AQ6" i="35"/>
  <c r="AQ5" i="35"/>
  <c r="X18" i="35"/>
  <c r="X17" i="35"/>
  <c r="X16" i="35"/>
  <c r="X10" i="35"/>
  <c r="AR9" i="35"/>
  <c r="Z6" i="35"/>
  <c r="Z5" i="35"/>
  <c r="AQ18" i="34"/>
  <c r="AQ17" i="34"/>
  <c r="AQ16" i="34"/>
  <c r="AQ10" i="34"/>
  <c r="AQ9" i="34"/>
  <c r="AQ8" i="34"/>
  <c r="AQ7" i="34"/>
  <c r="AQ6" i="34"/>
  <c r="AQ5" i="34"/>
  <c r="X18" i="34"/>
  <c r="X17" i="34"/>
  <c r="X16" i="34"/>
  <c r="X10" i="34"/>
  <c r="AR9" i="34"/>
  <c r="Z6" i="34"/>
  <c r="Z5" i="34"/>
  <c r="AQ18" i="33"/>
  <c r="AQ17" i="33"/>
  <c r="AQ16" i="33"/>
  <c r="AQ10" i="33"/>
  <c r="AQ9" i="33"/>
  <c r="AQ8" i="33"/>
  <c r="AQ7" i="33"/>
  <c r="AQ6" i="33"/>
  <c r="AQ5" i="33"/>
  <c r="X18" i="33"/>
  <c r="X17" i="33"/>
  <c r="X16" i="33"/>
  <c r="X10" i="33"/>
  <c r="Z9" i="33"/>
  <c r="Z8" i="33"/>
  <c r="Z7" i="33"/>
  <c r="AR6" i="33"/>
  <c r="Z5" i="33"/>
  <c r="Z37" i="32"/>
  <c r="Z36" i="32"/>
  <c r="Z35" i="32"/>
  <c r="Z34" i="32"/>
  <c r="Z33" i="32"/>
  <c r="X28" i="32"/>
  <c r="Z27" i="32"/>
  <c r="Z26" i="32"/>
  <c r="Z25" i="32"/>
  <c r="X19" i="32"/>
  <c r="Z18" i="32"/>
  <c r="Z17" i="32"/>
  <c r="Z16" i="32"/>
  <c r="X10" i="32"/>
  <c r="Z9" i="32"/>
  <c r="Z8" i="32"/>
  <c r="Z7" i="32"/>
  <c r="AP26" i="31"/>
  <c r="AP25" i="31"/>
  <c r="AP24" i="31"/>
  <c r="AP18" i="31"/>
  <c r="AP17" i="31"/>
  <c r="AP16" i="31"/>
  <c r="AP15" i="31"/>
  <c r="AP14" i="31"/>
  <c r="AP13" i="31"/>
  <c r="AP12" i="31"/>
  <c r="AP11" i="31"/>
  <c r="AP10" i="31"/>
  <c r="AP9" i="31"/>
  <c r="AP8" i="31"/>
  <c r="AP7" i="31"/>
  <c r="AP6" i="31"/>
  <c r="AP5" i="31"/>
  <c r="X26" i="31"/>
  <c r="X25" i="31"/>
  <c r="X24" i="31"/>
  <c r="AQ17" i="31"/>
  <c r="AQ15" i="31"/>
  <c r="X13" i="31"/>
  <c r="X14" i="31" s="1"/>
  <c r="X16" i="31" s="1"/>
  <c r="X18" i="31" s="1"/>
  <c r="AQ12" i="31"/>
  <c r="Y13" i="31"/>
  <c r="AQ13" i="31" s="1"/>
  <c r="X10" i="31"/>
  <c r="AQ9" i="31"/>
  <c r="AQ7" i="31"/>
  <c r="AQ5" i="31"/>
  <c r="K6" i="40"/>
  <c r="T10" i="30"/>
  <c r="T9" i="30"/>
  <c r="T8" i="30"/>
  <c r="T7" i="30"/>
  <c r="T17" i="30" s="1"/>
  <c r="T6" i="30"/>
  <c r="T18" i="30" s="1"/>
  <c r="T5" i="30"/>
  <c r="K19" i="30"/>
  <c r="K18" i="30"/>
  <c r="K17" i="30"/>
  <c r="K11" i="30"/>
  <c r="U10" i="30"/>
  <c r="M9" i="30"/>
  <c r="K8" i="30"/>
  <c r="M7" i="30"/>
  <c r="M6" i="30"/>
  <c r="M5" i="30"/>
  <c r="T10" i="29"/>
  <c r="T9" i="29"/>
  <c r="T8" i="29"/>
  <c r="T7" i="29"/>
  <c r="T6" i="29"/>
  <c r="T5" i="29"/>
  <c r="K19" i="29"/>
  <c r="K18" i="29"/>
  <c r="K17" i="29"/>
  <c r="K11" i="29"/>
  <c r="M10" i="29"/>
  <c r="M9" i="29"/>
  <c r="K8" i="29"/>
  <c r="M6" i="29"/>
  <c r="U5" i="29"/>
  <c r="T10" i="28"/>
  <c r="T9" i="28"/>
  <c r="T8" i="28"/>
  <c r="T7" i="28"/>
  <c r="T6" i="28"/>
  <c r="T5" i="28"/>
  <c r="K19" i="28"/>
  <c r="K18" i="28"/>
  <c r="K17" i="28"/>
  <c r="M10" i="28"/>
  <c r="M9" i="28"/>
  <c r="K8" i="28"/>
  <c r="K11" i="28" s="1"/>
  <c r="M7" i="28"/>
  <c r="M6" i="28"/>
  <c r="M5" i="28"/>
  <c r="T19" i="14"/>
  <c r="T18" i="14"/>
  <c r="T17" i="14"/>
  <c r="T10" i="14"/>
  <c r="T9" i="14"/>
  <c r="T8" i="14"/>
  <c r="T11" i="14" s="1"/>
  <c r="T7" i="14"/>
  <c r="T6" i="14"/>
  <c r="T5" i="14"/>
  <c r="K19" i="14"/>
  <c r="K18" i="14"/>
  <c r="K17" i="14"/>
  <c r="M10" i="14"/>
  <c r="M9" i="14"/>
  <c r="K8" i="14"/>
  <c r="K11" i="14" s="1"/>
  <c r="M7" i="14"/>
  <c r="U6" i="14"/>
  <c r="M5" i="14"/>
  <c r="M46" i="13"/>
  <c r="M45" i="13"/>
  <c r="M44" i="13"/>
  <c r="M43" i="13"/>
  <c r="M42" i="13"/>
  <c r="K37" i="13"/>
  <c r="M36" i="13"/>
  <c r="M35" i="13"/>
  <c r="M34" i="13"/>
  <c r="K28" i="13"/>
  <c r="M27" i="13"/>
  <c r="M26" i="13"/>
  <c r="M25" i="13"/>
  <c r="K19" i="13"/>
  <c r="M18" i="13"/>
  <c r="M17" i="13"/>
  <c r="M16" i="13"/>
  <c r="K10" i="13"/>
  <c r="M9" i="13"/>
  <c r="M8" i="13"/>
  <c r="M7" i="13"/>
  <c r="M6" i="13"/>
  <c r="S29" i="25"/>
  <c r="S28" i="25"/>
  <c r="S27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5" i="25"/>
  <c r="K29" i="25"/>
  <c r="K28" i="25"/>
  <c r="K27" i="25"/>
  <c r="T20" i="25"/>
  <c r="T18" i="25"/>
  <c r="T16" i="25"/>
  <c r="K15" i="25"/>
  <c r="T13" i="25"/>
  <c r="T11" i="25"/>
  <c r="K9" i="25"/>
  <c r="K12" i="25" s="1"/>
  <c r="K17" i="25" s="1"/>
  <c r="K19" i="25" s="1"/>
  <c r="K21" i="25" s="1"/>
  <c r="T6" i="25"/>
  <c r="T5" i="25"/>
  <c r="G14" i="26"/>
  <c r="G6" i="26"/>
  <c r="G34" i="26" l="1"/>
  <c r="AR5" i="34"/>
  <c r="T11" i="29"/>
  <c r="AR5" i="33"/>
  <c r="K13" i="19"/>
  <c r="L8" i="30"/>
  <c r="U8" i="30" s="1"/>
  <c r="K25" i="40"/>
  <c r="L28" i="13"/>
  <c r="M28" i="13" s="1"/>
  <c r="G8" i="26"/>
  <c r="G19" i="26" s="1"/>
  <c r="T19" i="28"/>
  <c r="U9" i="30"/>
  <c r="L17" i="29"/>
  <c r="M17" i="29" s="1"/>
  <c r="Z6" i="33"/>
  <c r="Y18" i="35"/>
  <c r="Z18" i="35" s="1"/>
  <c r="Y24" i="31"/>
  <c r="E17" i="39"/>
  <c r="E25" i="39" s="1"/>
  <c r="Y10" i="34"/>
  <c r="U6" i="28"/>
  <c r="T19" i="29"/>
  <c r="G27" i="26"/>
  <c r="G32" i="26" s="1"/>
  <c r="K6" i="19"/>
  <c r="K53" i="19"/>
  <c r="T18" i="28"/>
  <c r="AR5" i="35"/>
  <c r="Y11" i="36"/>
  <c r="Z11" i="36" s="1"/>
  <c r="M10" i="30"/>
  <c r="Y26" i="31"/>
  <c r="Y17" i="35"/>
  <c r="Z17" i="35" s="1"/>
  <c r="AR6" i="35"/>
  <c r="L9" i="25"/>
  <c r="T9" i="25" s="1"/>
  <c r="AR6" i="34"/>
  <c r="Z8" i="35"/>
  <c r="T18" i="29"/>
  <c r="AR7" i="35"/>
  <c r="AR9" i="36"/>
  <c r="K12" i="40"/>
  <c r="K17" i="40" s="1"/>
  <c r="U9" i="14"/>
  <c r="Y16" i="34"/>
  <c r="Z16" i="34" s="1"/>
  <c r="L15" i="25"/>
  <c r="T15" i="25" s="1"/>
  <c r="L18" i="30"/>
  <c r="M18" i="30" s="1"/>
  <c r="AQ8" i="31"/>
  <c r="Y17" i="34"/>
  <c r="Z17" i="34" s="1"/>
  <c r="Y10" i="35"/>
  <c r="Z10" i="35" s="1"/>
  <c r="K36" i="19"/>
  <c r="G38" i="26"/>
  <c r="U10" i="14"/>
  <c r="Y28" i="32"/>
  <c r="AR5" i="36"/>
  <c r="Y16" i="35"/>
  <c r="Z16" i="35" s="1"/>
  <c r="Y18" i="36"/>
  <c r="Z18" i="36" s="1"/>
  <c r="G17" i="39"/>
  <c r="G25" i="39" s="1"/>
  <c r="T11" i="28"/>
  <c r="K34" i="40"/>
  <c r="Y10" i="32"/>
  <c r="Z10" i="32" s="1"/>
  <c r="AR9" i="33"/>
  <c r="L27" i="25"/>
  <c r="T8" i="25"/>
  <c r="T14" i="25"/>
  <c r="U7" i="14"/>
  <c r="U10" i="28"/>
  <c r="M8" i="30"/>
  <c r="L19" i="30"/>
  <c r="M19" i="30" s="1"/>
  <c r="L17" i="14"/>
  <c r="M17" i="14" s="1"/>
  <c r="U5" i="28"/>
  <c r="M5" i="29"/>
  <c r="U9" i="29"/>
  <c r="G8" i="39"/>
  <c r="G15" i="39" s="1"/>
  <c r="U5" i="30"/>
  <c r="T10" i="25"/>
  <c r="U10" i="29"/>
  <c r="U6" i="30"/>
  <c r="L10" i="13"/>
  <c r="M10" i="13" s="1"/>
  <c r="U7" i="28"/>
  <c r="L8" i="29"/>
  <c r="L11" i="29" s="1"/>
  <c r="M11" i="29" s="1"/>
  <c r="L11" i="30"/>
  <c r="M11" i="30" s="1"/>
  <c r="U7" i="30"/>
  <c r="L19" i="13"/>
  <c r="M19" i="13" s="1"/>
  <c r="L37" i="13"/>
  <c r="M6" i="14"/>
  <c r="U5" i="14"/>
  <c r="L17" i="28"/>
  <c r="M17" i="28" s="1"/>
  <c r="U6" i="29"/>
  <c r="L17" i="30"/>
  <c r="M17" i="30" s="1"/>
  <c r="T7" i="25"/>
  <c r="U9" i="28"/>
  <c r="U7" i="29"/>
  <c r="Z10" i="34"/>
  <c r="AR10" i="34"/>
  <c r="M24" i="13"/>
  <c r="Y10" i="31"/>
  <c r="AQ10" i="31" s="1"/>
  <c r="Y18" i="34"/>
  <c r="Z18" i="34" s="1"/>
  <c r="Y25" i="31"/>
  <c r="Y18" i="33"/>
  <c r="Z18" i="33" s="1"/>
  <c r="Z7" i="34"/>
  <c r="Z9" i="35"/>
  <c r="Y19" i="36"/>
  <c r="Z19" i="36" s="1"/>
  <c r="E8" i="39"/>
  <c r="E15" i="39" s="1"/>
  <c r="E27" i="39" s="1"/>
  <c r="AR11" i="36"/>
  <c r="AQ11" i="31"/>
  <c r="AR8" i="35"/>
  <c r="AR6" i="36"/>
  <c r="Z8" i="34"/>
  <c r="AR7" i="34"/>
  <c r="K5" i="19"/>
  <c r="K22" i="19" s="1"/>
  <c r="K24" i="19" s="1"/>
  <c r="AQ6" i="31"/>
  <c r="AQ24" i="31" s="1"/>
  <c r="Y19" i="32"/>
  <c r="Z19" i="32" s="1"/>
  <c r="AR7" i="33"/>
  <c r="AR7" i="36"/>
  <c r="Y16" i="33"/>
  <c r="Z16" i="33" s="1"/>
  <c r="AR8" i="34"/>
  <c r="AR8" i="33"/>
  <c r="AR17" i="33" s="1"/>
  <c r="Z7" i="35"/>
  <c r="AR10" i="35"/>
  <c r="Y17" i="36"/>
  <c r="Z17" i="36" s="1"/>
  <c r="AR8" i="36"/>
  <c r="Y17" i="33"/>
  <c r="Z17" i="33" s="1"/>
  <c r="Z6" i="36"/>
  <c r="Y10" i="33"/>
  <c r="AR10" i="33" s="1"/>
  <c r="Z15" i="32"/>
  <c r="Z6" i="32"/>
  <c r="K31" i="40"/>
  <c r="K35" i="40" s="1"/>
  <c r="T19" i="30"/>
  <c r="T11" i="30"/>
  <c r="T17" i="29"/>
  <c r="M7" i="29"/>
  <c r="T17" i="28"/>
  <c r="L8" i="28"/>
  <c r="L19" i="28" s="1"/>
  <c r="M19" i="28" s="1"/>
  <c r="L8" i="14"/>
  <c r="M15" i="13"/>
  <c r="W11" i="36"/>
  <c r="W10" i="35"/>
  <c r="W10" i="34"/>
  <c r="W10" i="33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28" i="32"/>
  <c r="W10" i="32"/>
  <c r="W13" i="31"/>
  <c r="W10" i="31"/>
  <c r="H11" i="30"/>
  <c r="G11" i="30"/>
  <c r="S10" i="30"/>
  <c r="R10" i="30"/>
  <c r="Q10" i="30"/>
  <c r="P10" i="30"/>
  <c r="O10" i="30"/>
  <c r="S9" i="30"/>
  <c r="R9" i="30"/>
  <c r="Q9" i="30"/>
  <c r="P9" i="30"/>
  <c r="O9" i="30"/>
  <c r="J8" i="30"/>
  <c r="S8" i="30" s="1"/>
  <c r="I8" i="30"/>
  <c r="I11" i="30" s="1"/>
  <c r="H8" i="30"/>
  <c r="G8" i="30"/>
  <c r="F8" i="30"/>
  <c r="F11" i="30" s="1"/>
  <c r="E8" i="30"/>
  <c r="E11" i="30" s="1"/>
  <c r="S7" i="30"/>
  <c r="R7" i="30"/>
  <c r="Q7" i="30"/>
  <c r="P7" i="30"/>
  <c r="O7" i="30"/>
  <c r="S6" i="30"/>
  <c r="R6" i="30"/>
  <c r="Q6" i="30"/>
  <c r="P6" i="30"/>
  <c r="O6" i="30"/>
  <c r="S5" i="30"/>
  <c r="R5" i="30"/>
  <c r="Q5" i="30"/>
  <c r="P5" i="30"/>
  <c r="O5" i="30"/>
  <c r="S10" i="29"/>
  <c r="R10" i="29"/>
  <c r="Q10" i="29"/>
  <c r="P10" i="29"/>
  <c r="O10" i="29"/>
  <c r="S9" i="29"/>
  <c r="R9" i="29"/>
  <c r="Q9" i="29"/>
  <c r="P9" i="29"/>
  <c r="O9" i="29"/>
  <c r="S7" i="29"/>
  <c r="R7" i="29"/>
  <c r="Q7" i="29"/>
  <c r="P7" i="29"/>
  <c r="O7" i="29"/>
  <c r="S6" i="29"/>
  <c r="R6" i="29"/>
  <c r="Q6" i="29"/>
  <c r="P6" i="29"/>
  <c r="O6" i="29"/>
  <c r="S5" i="29"/>
  <c r="R5" i="29"/>
  <c r="Q5" i="29"/>
  <c r="P5" i="29"/>
  <c r="O5" i="29"/>
  <c r="E11" i="29"/>
  <c r="J8" i="29"/>
  <c r="J11" i="29" s="1"/>
  <c r="I8" i="29"/>
  <c r="I11" i="29" s="1"/>
  <c r="H8" i="29"/>
  <c r="H11" i="29" s="1"/>
  <c r="G8" i="29"/>
  <c r="G11" i="29" s="1"/>
  <c r="F8" i="29"/>
  <c r="F11" i="29" s="1"/>
  <c r="E8" i="29"/>
  <c r="S10" i="28"/>
  <c r="R10" i="28"/>
  <c r="Q10" i="28"/>
  <c r="P10" i="28"/>
  <c r="O10" i="28"/>
  <c r="S9" i="28"/>
  <c r="R9" i="28"/>
  <c r="Q9" i="28"/>
  <c r="P9" i="28"/>
  <c r="O9" i="28"/>
  <c r="S7" i="28"/>
  <c r="R7" i="28"/>
  <c r="Q7" i="28"/>
  <c r="P7" i="28"/>
  <c r="O7" i="28"/>
  <c r="S6" i="28"/>
  <c r="R6" i="28"/>
  <c r="Q6" i="28"/>
  <c r="P6" i="28"/>
  <c r="O6" i="28"/>
  <c r="S5" i="28"/>
  <c r="R5" i="28"/>
  <c r="Q5" i="28"/>
  <c r="P5" i="28"/>
  <c r="O5" i="28"/>
  <c r="E11" i="28"/>
  <c r="J8" i="28"/>
  <c r="J11" i="28" s="1"/>
  <c r="I8" i="28"/>
  <c r="I11" i="28" s="1"/>
  <c r="H8" i="28"/>
  <c r="H11" i="28" s="1"/>
  <c r="G8" i="28"/>
  <c r="G11" i="28" s="1"/>
  <c r="F8" i="28"/>
  <c r="F11" i="28" s="1"/>
  <c r="E8" i="28"/>
  <c r="S10" i="14"/>
  <c r="R10" i="14"/>
  <c r="Q10" i="14"/>
  <c r="P10" i="14"/>
  <c r="O10" i="14"/>
  <c r="S9" i="14"/>
  <c r="R9" i="14"/>
  <c r="Q9" i="14"/>
  <c r="P9" i="14"/>
  <c r="O9" i="14"/>
  <c r="S7" i="14"/>
  <c r="R7" i="14"/>
  <c r="Q7" i="14"/>
  <c r="P7" i="14"/>
  <c r="O7" i="14"/>
  <c r="S6" i="14"/>
  <c r="R6" i="14"/>
  <c r="Q6" i="14"/>
  <c r="P6" i="14"/>
  <c r="O6" i="14"/>
  <c r="S5" i="14"/>
  <c r="R5" i="14"/>
  <c r="Q5" i="14"/>
  <c r="P5" i="14"/>
  <c r="O5" i="14"/>
  <c r="J8" i="14"/>
  <c r="J11" i="14" s="1"/>
  <c r="I8" i="14"/>
  <c r="I11" i="14" s="1"/>
  <c r="H8" i="14"/>
  <c r="H11" i="14" s="1"/>
  <c r="G8" i="14"/>
  <c r="G11" i="14" s="1"/>
  <c r="F8" i="14"/>
  <c r="F11" i="14" s="1"/>
  <c r="E8" i="14"/>
  <c r="E11" i="14" s="1"/>
  <c r="J28" i="13"/>
  <c r="I28" i="13"/>
  <c r="H28" i="13"/>
  <c r="G28" i="13"/>
  <c r="F28" i="13"/>
  <c r="E28" i="13"/>
  <c r="J37" i="13"/>
  <c r="J19" i="13"/>
  <c r="J10" i="13"/>
  <c r="I9" i="25"/>
  <c r="H9" i="25"/>
  <c r="G9" i="25"/>
  <c r="F9" i="25"/>
  <c r="N9" i="25" s="1"/>
  <c r="E9" i="25"/>
  <c r="J9" i="25"/>
  <c r="N10" i="25"/>
  <c r="O10" i="25"/>
  <c r="R11" i="25"/>
  <c r="Q11" i="25"/>
  <c r="P11" i="25"/>
  <c r="O11" i="25"/>
  <c r="N11" i="25"/>
  <c r="R10" i="25"/>
  <c r="Q10" i="25"/>
  <c r="P10" i="25"/>
  <c r="J15" i="25"/>
  <c r="J12" i="25"/>
  <c r="J17" i="25" s="1"/>
  <c r="J19" i="25" s="1"/>
  <c r="J21" i="25" s="1"/>
  <c r="Y14" i="31" l="1"/>
  <c r="AR18" i="36"/>
  <c r="U17" i="28"/>
  <c r="G27" i="39"/>
  <c r="T28" i="25"/>
  <c r="L12" i="25"/>
  <c r="L17" i="25" s="1"/>
  <c r="U17" i="29"/>
  <c r="G39" i="26"/>
  <c r="L28" i="25"/>
  <c r="L29" i="25"/>
  <c r="L19" i="29"/>
  <c r="M19" i="29" s="1"/>
  <c r="M8" i="14"/>
  <c r="L18" i="14"/>
  <c r="M18" i="14" s="1"/>
  <c r="U8" i="14"/>
  <c r="U18" i="14" s="1"/>
  <c r="L11" i="28"/>
  <c r="M11" i="28" s="1"/>
  <c r="M8" i="28"/>
  <c r="L18" i="28"/>
  <c r="M18" i="28" s="1"/>
  <c r="U8" i="28"/>
  <c r="U18" i="28" s="1"/>
  <c r="U17" i="14"/>
  <c r="T29" i="25"/>
  <c r="T27" i="25"/>
  <c r="M8" i="29"/>
  <c r="L18" i="29"/>
  <c r="M18" i="29" s="1"/>
  <c r="U8" i="29"/>
  <c r="U18" i="29" s="1"/>
  <c r="L19" i="14"/>
  <c r="M19" i="14" s="1"/>
  <c r="U11" i="30"/>
  <c r="Y16" i="31"/>
  <c r="AQ14" i="31"/>
  <c r="AQ25" i="31"/>
  <c r="AQ26" i="31"/>
  <c r="AR19" i="36"/>
  <c r="AR17" i="36"/>
  <c r="AR16" i="33"/>
  <c r="AR18" i="33"/>
  <c r="W14" i="31"/>
  <c r="W16" i="31" s="1"/>
  <c r="W18" i="31" s="1"/>
  <c r="J11" i="30"/>
  <c r="Q8" i="30"/>
  <c r="S11" i="30"/>
  <c r="O8" i="30"/>
  <c r="O11" i="30" s="1"/>
  <c r="R8" i="30"/>
  <c r="R11" i="30" s="1"/>
  <c r="R8" i="29"/>
  <c r="S8" i="29"/>
  <c r="R11" i="29"/>
  <c r="S11" i="29"/>
  <c r="Q8" i="29"/>
  <c r="Q11" i="29" s="1"/>
  <c r="O8" i="29"/>
  <c r="O11" i="29" s="1"/>
  <c r="P8" i="29"/>
  <c r="P11" i="29" s="1"/>
  <c r="S8" i="28"/>
  <c r="Q8" i="28"/>
  <c r="Q11" i="28" s="1"/>
  <c r="S11" i="28"/>
  <c r="O8" i="28"/>
  <c r="O11" i="28" s="1"/>
  <c r="R8" i="28"/>
  <c r="R11" i="28" s="1"/>
  <c r="P8" i="28"/>
  <c r="P11" i="28" s="1"/>
  <c r="L11" i="14"/>
  <c r="O8" i="14"/>
  <c r="P8" i="14"/>
  <c r="O11" i="14"/>
  <c r="Q8" i="14"/>
  <c r="P11" i="14"/>
  <c r="R8" i="14"/>
  <c r="Q11" i="14"/>
  <c r="S8" i="14"/>
  <c r="S11" i="14" s="1"/>
  <c r="R11" i="14"/>
  <c r="O9" i="25"/>
  <c r="Q11" i="30"/>
  <c r="P8" i="30"/>
  <c r="P11" i="30" s="1"/>
  <c r="T12" i="25" l="1"/>
  <c r="U11" i="14"/>
  <c r="U11" i="29"/>
  <c r="U19" i="14"/>
  <c r="U19" i="29"/>
  <c r="L19" i="25"/>
  <c r="T17" i="25"/>
  <c r="U19" i="28"/>
  <c r="U11" i="28"/>
  <c r="Y18" i="31"/>
  <c r="AQ18" i="31" s="1"/>
  <c r="AQ16" i="31"/>
  <c r="U18" i="30"/>
  <c r="L21" i="25" l="1"/>
  <c r="T21" i="25" s="1"/>
  <c r="T19" i="25"/>
  <c r="J9" i="23"/>
  <c r="V11" i="36"/>
  <c r="U11" i="36"/>
  <c r="T11" i="36"/>
  <c r="S11" i="36"/>
  <c r="V10" i="35"/>
  <c r="U10" i="35"/>
  <c r="T10" i="35"/>
  <c r="S10" i="35"/>
  <c r="V10" i="34"/>
  <c r="U10" i="34"/>
  <c r="T10" i="34"/>
  <c r="S10" i="34"/>
  <c r="V10" i="33"/>
  <c r="U10" i="33"/>
  <c r="T10" i="33"/>
  <c r="S10" i="33"/>
  <c r="V28" i="32"/>
  <c r="U28" i="32"/>
  <c r="T28" i="32"/>
  <c r="S28" i="32"/>
  <c r="V10" i="32"/>
  <c r="U10" i="32"/>
  <c r="T10" i="32"/>
  <c r="S10" i="32"/>
  <c r="V13" i="31"/>
  <c r="V10" i="31"/>
  <c r="J34" i="40"/>
  <c r="J25" i="40"/>
  <c r="J31" i="40" s="1"/>
  <c r="J35" i="40" s="1"/>
  <c r="J12" i="40"/>
  <c r="J6" i="40"/>
  <c r="J17" i="40" s="1"/>
  <c r="I37" i="13"/>
  <c r="H37" i="13"/>
  <c r="G37" i="13"/>
  <c r="F37" i="13"/>
  <c r="E37" i="13"/>
  <c r="I19" i="13"/>
  <c r="H19" i="13"/>
  <c r="G19" i="13"/>
  <c r="F19" i="13"/>
  <c r="E19" i="13"/>
  <c r="I10" i="13"/>
  <c r="H10" i="13"/>
  <c r="G10" i="13"/>
  <c r="F10" i="13"/>
  <c r="E10" i="13"/>
  <c r="I15" i="25"/>
  <c r="H15" i="25"/>
  <c r="G15" i="25"/>
  <c r="F15" i="25"/>
  <c r="E15" i="25"/>
  <c r="I12" i="25"/>
  <c r="I17" i="25" s="1"/>
  <c r="I19" i="25" s="1"/>
  <c r="I21" i="25" s="1"/>
  <c r="H12" i="25"/>
  <c r="G12" i="25"/>
  <c r="F12" i="25"/>
  <c r="E12" i="25"/>
  <c r="F34" i="26"/>
  <c r="F38" i="26" s="1"/>
  <c r="F39" i="26" s="1"/>
  <c r="E34" i="26"/>
  <c r="E38" i="26" s="1"/>
  <c r="E39" i="26" s="1"/>
  <c r="F27" i="26"/>
  <c r="F32" i="26" s="1"/>
  <c r="E27" i="26"/>
  <c r="E32" i="26" s="1"/>
  <c r="F14" i="26"/>
  <c r="E14" i="26"/>
  <c r="F8" i="26"/>
  <c r="E8" i="26"/>
  <c r="F6" i="26"/>
  <c r="F19" i="26" s="1"/>
  <c r="E6" i="26"/>
  <c r="E19" i="26" s="1"/>
  <c r="I34" i="40"/>
  <c r="H34" i="40"/>
  <c r="G34" i="40"/>
  <c r="F34" i="40"/>
  <c r="E34" i="40"/>
  <c r="I31" i="40"/>
  <c r="I25" i="40"/>
  <c r="H25" i="40"/>
  <c r="H31" i="40" s="1"/>
  <c r="G25" i="40"/>
  <c r="G31" i="40" s="1"/>
  <c r="G35" i="40" s="1"/>
  <c r="F25" i="40"/>
  <c r="F31" i="40" s="1"/>
  <c r="E25" i="40"/>
  <c r="E31" i="40" s="1"/>
  <c r="E35" i="40" s="1"/>
  <c r="I12" i="40"/>
  <c r="H12" i="40"/>
  <c r="G12" i="40"/>
  <c r="F12" i="40"/>
  <c r="E12" i="40"/>
  <c r="I6" i="40"/>
  <c r="I17" i="40" s="1"/>
  <c r="H6" i="40"/>
  <c r="H17" i="40" s="1"/>
  <c r="G6" i="40"/>
  <c r="F6" i="40"/>
  <c r="E6" i="40"/>
  <c r="E17" i="40" s="1"/>
  <c r="AR17" i="34" l="1"/>
  <c r="G17" i="25"/>
  <c r="G19" i="25" s="1"/>
  <c r="G21" i="25" s="1"/>
  <c r="H17" i="25"/>
  <c r="H19" i="25" s="1"/>
  <c r="H21" i="25" s="1"/>
  <c r="AR16" i="34"/>
  <c r="AR18" i="34"/>
  <c r="AR18" i="35"/>
  <c r="AR16" i="35"/>
  <c r="AR17" i="35"/>
  <c r="E17" i="25"/>
  <c r="E19" i="25" s="1"/>
  <c r="E21" i="25" s="1"/>
  <c r="F17" i="25"/>
  <c r="F19" i="25" s="1"/>
  <c r="F21" i="25" s="1"/>
  <c r="V14" i="31"/>
  <c r="V16" i="31" s="1"/>
  <c r="V18" i="31" s="1"/>
  <c r="F35" i="40"/>
  <c r="G17" i="40"/>
  <c r="F17" i="40"/>
  <c r="I35" i="40"/>
  <c r="H35" i="40"/>
  <c r="J53" i="19"/>
  <c r="J36" i="19"/>
  <c r="J13" i="19"/>
  <c r="J6" i="19"/>
  <c r="J5" i="19" l="1"/>
  <c r="J22" i="19" s="1"/>
  <c r="J24" i="19" s="1"/>
  <c r="AP10" i="36" l="1"/>
  <c r="AP9" i="34"/>
  <c r="W18" i="36" l="1"/>
  <c r="AP6" i="35"/>
  <c r="AP5" i="35"/>
  <c r="W17" i="36"/>
  <c r="AP7" i="35"/>
  <c r="AP16" i="35" s="1"/>
  <c r="W19" i="36"/>
  <c r="AP8" i="35"/>
  <c r="AP5" i="36"/>
  <c r="AP9" i="35"/>
  <c r="AP6" i="36"/>
  <c r="W16" i="34"/>
  <c r="AP7" i="36"/>
  <c r="W17" i="34"/>
  <c r="AP8" i="36"/>
  <c r="W18" i="34"/>
  <c r="AP9" i="36"/>
  <c r="AP5" i="34"/>
  <c r="AP6" i="34"/>
  <c r="W16" i="35"/>
  <c r="AP7" i="34"/>
  <c r="W17" i="35"/>
  <c r="AP8" i="34"/>
  <c r="W18" i="35"/>
  <c r="AO17" i="31"/>
  <c r="AO15" i="31"/>
  <c r="AO12" i="31"/>
  <c r="AO9" i="31"/>
  <c r="AO6" i="31"/>
  <c r="AO5" i="31"/>
  <c r="R20" i="25"/>
  <c r="R18" i="25"/>
  <c r="R16" i="25"/>
  <c r="R14" i="25"/>
  <c r="R15" i="25"/>
  <c r="R9" i="25"/>
  <c r="R7" i="25"/>
  <c r="R6" i="25"/>
  <c r="R5" i="25"/>
  <c r="AP18" i="35" l="1"/>
  <c r="AP10" i="35"/>
  <c r="AP17" i="35"/>
  <c r="J29" i="25"/>
  <c r="J19" i="30"/>
  <c r="AP6" i="33"/>
  <c r="AP19" i="36"/>
  <c r="AP17" i="36"/>
  <c r="AP7" i="33"/>
  <c r="AP8" i="33"/>
  <c r="R13" i="25"/>
  <c r="S18" i="29"/>
  <c r="AP9" i="33"/>
  <c r="AP10" i="34"/>
  <c r="AP11" i="36"/>
  <c r="J19" i="29"/>
  <c r="W25" i="31"/>
  <c r="AP18" i="34"/>
  <c r="AP16" i="34"/>
  <c r="AP18" i="36"/>
  <c r="J17" i="28"/>
  <c r="J18" i="28"/>
  <c r="J17" i="30"/>
  <c r="AP5" i="33"/>
  <c r="AP17" i="34"/>
  <c r="R28" i="25"/>
  <c r="S17" i="30"/>
  <c r="S18" i="14"/>
  <c r="S19" i="29"/>
  <c r="S17" i="29"/>
  <c r="S17" i="14"/>
  <c r="S19" i="14"/>
  <c r="J18" i="29"/>
  <c r="J18" i="30"/>
  <c r="AO10" i="31"/>
  <c r="AO7" i="31"/>
  <c r="AO24" i="31" s="1"/>
  <c r="AO8" i="31"/>
  <c r="AO25" i="31" s="1"/>
  <c r="J27" i="25"/>
  <c r="J28" i="25"/>
  <c r="AO13" i="31"/>
  <c r="AO11" i="31"/>
  <c r="J17" i="14"/>
  <c r="J18" i="14"/>
  <c r="W16" i="33"/>
  <c r="J19" i="14"/>
  <c r="W24" i="31"/>
  <c r="W17" i="33"/>
  <c r="R8" i="25"/>
  <c r="R27" i="25" s="1"/>
  <c r="S18" i="30"/>
  <c r="W18" i="33"/>
  <c r="J19" i="28"/>
  <c r="J17" i="29"/>
  <c r="W26" i="31"/>
  <c r="AP17" i="33" l="1"/>
  <c r="AO14" i="31"/>
  <c r="S18" i="28"/>
  <c r="AP18" i="33"/>
  <c r="AP16" i="33"/>
  <c r="AP10" i="33"/>
  <c r="R12" i="25"/>
  <c r="S19" i="30"/>
  <c r="S17" i="28"/>
  <c r="AO26" i="31"/>
  <c r="S19" i="28"/>
  <c r="R29" i="25"/>
  <c r="AO18" i="31" l="1"/>
  <c r="AO16" i="31"/>
  <c r="R17" i="25"/>
  <c r="R21" i="25" l="1"/>
  <c r="R19" i="25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M10" i="36"/>
  <c r="AL10" i="36"/>
  <c r="AK10" i="36"/>
  <c r="AJ10" i="36"/>
  <c r="AI10" i="36"/>
  <c r="AH10" i="36"/>
  <c r="AG10" i="36"/>
  <c r="AF10" i="36"/>
  <c r="AE10" i="36"/>
  <c r="AD10" i="36"/>
  <c r="AC10" i="36"/>
  <c r="AB10" i="36"/>
  <c r="AN10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N9" i="36"/>
  <c r="AM8" i="36"/>
  <c r="AL8" i="36"/>
  <c r="AK8" i="36"/>
  <c r="AJ8" i="36"/>
  <c r="AI8" i="36"/>
  <c r="AH8" i="36"/>
  <c r="AG8" i="36"/>
  <c r="AF8" i="36"/>
  <c r="AE8" i="36"/>
  <c r="AD8" i="36"/>
  <c r="AC8" i="36"/>
  <c r="AB8" i="36"/>
  <c r="AM7" i="36"/>
  <c r="AL7" i="36"/>
  <c r="AK7" i="36"/>
  <c r="AJ7" i="36"/>
  <c r="AI7" i="36"/>
  <c r="AH7" i="36"/>
  <c r="AG7" i="36"/>
  <c r="AF7" i="36"/>
  <c r="AE7" i="36"/>
  <c r="AD7" i="36"/>
  <c r="AC7" i="36"/>
  <c r="AB7" i="36"/>
  <c r="AN7" i="36"/>
  <c r="AM6" i="36"/>
  <c r="AL6" i="36"/>
  <c r="AK6" i="36"/>
  <c r="AJ6" i="36"/>
  <c r="AI6" i="36"/>
  <c r="AH6" i="36"/>
  <c r="AG6" i="36"/>
  <c r="AF6" i="36"/>
  <c r="AE6" i="36"/>
  <c r="AD6" i="36"/>
  <c r="AC6" i="36"/>
  <c r="AB6" i="36"/>
  <c r="AN6" i="36"/>
  <c r="AM5" i="36"/>
  <c r="AL5" i="36"/>
  <c r="AK5" i="36"/>
  <c r="AJ5" i="36"/>
  <c r="AI5" i="36"/>
  <c r="AH5" i="36"/>
  <c r="AG5" i="36"/>
  <c r="AF5" i="36"/>
  <c r="AE5" i="36"/>
  <c r="AD5" i="36"/>
  <c r="AC5" i="36"/>
  <c r="AB5" i="36"/>
  <c r="AN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N9" i="35"/>
  <c r="AM8" i="35"/>
  <c r="AL8" i="35"/>
  <c r="AK8" i="35"/>
  <c r="AJ8" i="35"/>
  <c r="AI8" i="35"/>
  <c r="AH8" i="35"/>
  <c r="AG8" i="35"/>
  <c r="AF8" i="35"/>
  <c r="AE8" i="35"/>
  <c r="AD8" i="35"/>
  <c r="AC8" i="35"/>
  <c r="AB8" i="35"/>
  <c r="AN8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N7" i="35"/>
  <c r="AM6" i="35"/>
  <c r="AL6" i="35"/>
  <c r="AK6" i="35"/>
  <c r="AJ6" i="35"/>
  <c r="AI6" i="35"/>
  <c r="AH6" i="35"/>
  <c r="AG6" i="35"/>
  <c r="AF6" i="35"/>
  <c r="AE6" i="35"/>
  <c r="AD6" i="35"/>
  <c r="AC6" i="35"/>
  <c r="AB6" i="35"/>
  <c r="AM5" i="35"/>
  <c r="AL5" i="35"/>
  <c r="AK5" i="35"/>
  <c r="AJ5" i="35"/>
  <c r="AI5" i="35"/>
  <c r="AH5" i="35"/>
  <c r="AG5" i="35"/>
  <c r="AF5" i="35"/>
  <c r="AE5" i="35"/>
  <c r="AD5" i="35"/>
  <c r="AC5" i="35"/>
  <c r="AB5" i="35"/>
  <c r="AN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N9" i="34"/>
  <c r="AM8" i="34"/>
  <c r="AL8" i="34"/>
  <c r="AK8" i="34"/>
  <c r="AJ8" i="34"/>
  <c r="AI8" i="34"/>
  <c r="AH8" i="34"/>
  <c r="AG8" i="34"/>
  <c r="AF8" i="34"/>
  <c r="AE8" i="34"/>
  <c r="AD8" i="34"/>
  <c r="AC8" i="34"/>
  <c r="AB8" i="34"/>
  <c r="AO8" i="34"/>
  <c r="AM7" i="34"/>
  <c r="AL7" i="34"/>
  <c r="AK7" i="34"/>
  <c r="AJ7" i="34"/>
  <c r="AI7" i="34"/>
  <c r="AH7" i="34"/>
  <c r="AG7" i="34"/>
  <c r="AF7" i="34"/>
  <c r="AE7" i="34"/>
  <c r="AD7" i="34"/>
  <c r="AC7" i="34"/>
  <c r="AB7" i="34"/>
  <c r="AN7" i="34"/>
  <c r="AM6" i="34"/>
  <c r="AL6" i="34"/>
  <c r="AK6" i="34"/>
  <c r="AJ6" i="34"/>
  <c r="AI6" i="34"/>
  <c r="AH6" i="34"/>
  <c r="AG6" i="34"/>
  <c r="AF6" i="34"/>
  <c r="AE6" i="34"/>
  <c r="AD6" i="34"/>
  <c r="AC6" i="34"/>
  <c r="AB6" i="34"/>
  <c r="AM5" i="34"/>
  <c r="AL5" i="34"/>
  <c r="AK5" i="34"/>
  <c r="AJ5" i="34"/>
  <c r="AI5" i="34"/>
  <c r="AH5" i="34"/>
  <c r="AG5" i="34"/>
  <c r="AF5" i="34"/>
  <c r="AE5" i="34"/>
  <c r="AD5" i="34"/>
  <c r="AC5" i="34"/>
  <c r="AB5" i="34"/>
  <c r="AN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N9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N8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M6" i="33"/>
  <c r="AL6" i="33"/>
  <c r="AK6" i="33"/>
  <c r="AJ6" i="33"/>
  <c r="AI6" i="33"/>
  <c r="AH6" i="33"/>
  <c r="AG6" i="33"/>
  <c r="AF6" i="33"/>
  <c r="AE6" i="33"/>
  <c r="AD6" i="33"/>
  <c r="AC6" i="33"/>
  <c r="AB6" i="33"/>
  <c r="AN6" i="33"/>
  <c r="AM5" i="33"/>
  <c r="AL5" i="33"/>
  <c r="AK5" i="33"/>
  <c r="AJ5" i="33"/>
  <c r="AI5" i="33"/>
  <c r="AH5" i="33"/>
  <c r="AG5" i="33"/>
  <c r="AF5" i="33"/>
  <c r="AE5" i="33"/>
  <c r="AD5" i="33"/>
  <c r="AC5" i="33"/>
  <c r="AB5" i="33"/>
  <c r="AN5" i="33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L17" i="31"/>
  <c r="AK17" i="31"/>
  <c r="AJ17" i="31"/>
  <c r="AI17" i="31"/>
  <c r="AH17" i="31"/>
  <c r="AG17" i="31"/>
  <c r="AF17" i="31"/>
  <c r="AE17" i="31"/>
  <c r="AD17" i="31"/>
  <c r="AC17" i="31"/>
  <c r="AB17" i="31"/>
  <c r="AA17" i="31"/>
  <c r="AM17" i="31"/>
  <c r="AL15" i="31"/>
  <c r="AK15" i="31"/>
  <c r="AJ15" i="31"/>
  <c r="AI15" i="31"/>
  <c r="AH15" i="31"/>
  <c r="AG15" i="31"/>
  <c r="AF15" i="31"/>
  <c r="AE15" i="31"/>
  <c r="AD15" i="31"/>
  <c r="AC15" i="31"/>
  <c r="AB15" i="31"/>
  <c r="AA15" i="31"/>
  <c r="AM15" i="31"/>
  <c r="T13" i="31"/>
  <c r="S13" i="31"/>
  <c r="AK13" i="31" s="1"/>
  <c r="R13" i="31"/>
  <c r="Q13" i="31"/>
  <c r="AI13" i="31" s="1"/>
  <c r="O13" i="31"/>
  <c r="AH13" i="31" s="1"/>
  <c r="N13" i="31"/>
  <c r="M13" i="31"/>
  <c r="L13" i="31"/>
  <c r="K13" i="31"/>
  <c r="J13" i="31"/>
  <c r="I13" i="31"/>
  <c r="H13" i="31"/>
  <c r="G13" i="31"/>
  <c r="F13" i="31"/>
  <c r="E13" i="31"/>
  <c r="AL12" i="31"/>
  <c r="AK12" i="31"/>
  <c r="AJ12" i="31"/>
  <c r="AI12" i="31"/>
  <c r="AH12" i="31"/>
  <c r="AG12" i="31"/>
  <c r="AF12" i="31"/>
  <c r="AE12" i="31"/>
  <c r="AD12" i="31"/>
  <c r="AC12" i="31"/>
  <c r="AB12" i="31"/>
  <c r="AA12" i="31"/>
  <c r="AM12" i="31"/>
  <c r="AL11" i="31"/>
  <c r="AK11" i="31"/>
  <c r="AJ11" i="31"/>
  <c r="AI11" i="31"/>
  <c r="AH11" i="31"/>
  <c r="AG11" i="31"/>
  <c r="AF11" i="31"/>
  <c r="AE11" i="31"/>
  <c r="AD11" i="31"/>
  <c r="AC11" i="31"/>
  <c r="AB11" i="31"/>
  <c r="AA11" i="31"/>
  <c r="AM11" i="31"/>
  <c r="T10" i="31"/>
  <c r="S10" i="31"/>
  <c r="AK10" i="31" s="1"/>
  <c r="R10" i="31"/>
  <c r="Q10" i="31"/>
  <c r="AI10" i="31" s="1"/>
  <c r="O10" i="31"/>
  <c r="AG10" i="31" s="1"/>
  <c r="N10" i="31"/>
  <c r="M10" i="31"/>
  <c r="L10" i="31"/>
  <c r="K10" i="31"/>
  <c r="AC10" i="31" s="1"/>
  <c r="J10" i="31"/>
  <c r="I10" i="31"/>
  <c r="H10" i="31"/>
  <c r="G10" i="31"/>
  <c r="F10" i="31"/>
  <c r="E10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AM9" i="31"/>
  <c r="AL8" i="31"/>
  <c r="AK8" i="31"/>
  <c r="AJ8" i="31"/>
  <c r="AI8" i="31"/>
  <c r="AH8" i="31"/>
  <c r="AG8" i="31"/>
  <c r="AF8" i="31"/>
  <c r="AE8" i="31"/>
  <c r="AD8" i="31"/>
  <c r="AC8" i="31"/>
  <c r="AB8" i="31"/>
  <c r="AA8" i="31"/>
  <c r="AM8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AM7" i="31"/>
  <c r="AL6" i="31"/>
  <c r="AK6" i="31"/>
  <c r="AJ6" i="31"/>
  <c r="AI6" i="31"/>
  <c r="AH6" i="31"/>
  <c r="AG6" i="31"/>
  <c r="AF6" i="31"/>
  <c r="AE6" i="31"/>
  <c r="AD6" i="31"/>
  <c r="AC6" i="31"/>
  <c r="AB6" i="31"/>
  <c r="AA6" i="31"/>
  <c r="AM6" i="31"/>
  <c r="AL5" i="31"/>
  <c r="AK5" i="31"/>
  <c r="AJ5" i="31"/>
  <c r="AI5" i="31"/>
  <c r="AH5" i="31"/>
  <c r="AG5" i="31"/>
  <c r="AF5" i="31"/>
  <c r="AE5" i="31"/>
  <c r="AD5" i="31"/>
  <c r="AC5" i="31"/>
  <c r="AB5" i="31"/>
  <c r="AA5" i="31"/>
  <c r="AM5" i="31"/>
  <c r="AI10" i="34" l="1"/>
  <c r="AL19" i="36"/>
  <c r="AH11" i="36"/>
  <c r="AC10" i="34"/>
  <c r="AD10" i="34"/>
  <c r="AK10" i="33"/>
  <c r="AF13" i="31"/>
  <c r="AH26" i="31"/>
  <c r="AD10" i="35"/>
  <c r="AB10" i="31"/>
  <c r="AL10" i="31"/>
  <c r="AB18" i="34"/>
  <c r="AB17" i="34"/>
  <c r="AJ10" i="34"/>
  <c r="AH10" i="33"/>
  <c r="AC10" i="35"/>
  <c r="AB18" i="35"/>
  <c r="AO9" i="36"/>
  <c r="AF10" i="35"/>
  <c r="AJ10" i="33"/>
  <c r="AN15" i="31"/>
  <c r="AN17" i="31"/>
  <c r="AL18" i="36"/>
  <c r="E14" i="31"/>
  <c r="E16" i="31" s="1"/>
  <c r="E18" i="31" s="1"/>
  <c r="AH25" i="31"/>
  <c r="AD16" i="35"/>
  <c r="AG10" i="35"/>
  <c r="AE10" i="34"/>
  <c r="AO5" i="35"/>
  <c r="AI10" i="33"/>
  <c r="AK10" i="34"/>
  <c r="U18" i="35"/>
  <c r="AO6" i="35"/>
  <c r="F14" i="31"/>
  <c r="F16" i="31" s="1"/>
  <c r="F18" i="31" s="1"/>
  <c r="AM17" i="35"/>
  <c r="AB18" i="36"/>
  <c r="AO6" i="33"/>
  <c r="G14" i="31"/>
  <c r="G16" i="31" s="1"/>
  <c r="G18" i="31" s="1"/>
  <c r="T14" i="31"/>
  <c r="T16" i="31" s="1"/>
  <c r="AL10" i="33"/>
  <c r="AE10" i="35"/>
  <c r="AB17" i="35"/>
  <c r="H14" i="31"/>
  <c r="H16" i="31" s="1"/>
  <c r="H18" i="31" s="1"/>
  <c r="AG25" i="31"/>
  <c r="N14" i="31"/>
  <c r="N16" i="31" s="1"/>
  <c r="I14" i="31"/>
  <c r="I16" i="31" s="1"/>
  <c r="AL17" i="35"/>
  <c r="AB18" i="33"/>
  <c r="AH10" i="35"/>
  <c r="AD10" i="33"/>
  <c r="AC16" i="33"/>
  <c r="AB17" i="33"/>
  <c r="AF10" i="34"/>
  <c r="AI10" i="35"/>
  <c r="AN12" i="31"/>
  <c r="AO6" i="34"/>
  <c r="AE10" i="33"/>
  <c r="AC17" i="33"/>
  <c r="AG10" i="34"/>
  <c r="AF10" i="33"/>
  <c r="AH10" i="34"/>
  <c r="AL11" i="36"/>
  <c r="V16" i="35"/>
  <c r="AD18" i="33"/>
  <c r="AC18" i="34"/>
  <c r="AN5" i="31"/>
  <c r="AC17" i="35"/>
  <c r="AG16" i="34"/>
  <c r="AC18" i="36"/>
  <c r="AB26" i="31"/>
  <c r="AG17" i="34"/>
  <c r="AD18" i="36"/>
  <c r="AC26" i="31"/>
  <c r="AJ10" i="31"/>
  <c r="J14" i="31"/>
  <c r="J16" i="31" s="1"/>
  <c r="AJ18" i="33"/>
  <c r="AI18" i="34"/>
  <c r="AH17" i="34"/>
  <c r="AE18" i="36"/>
  <c r="AO7" i="34"/>
  <c r="AJ26" i="31"/>
  <c r="AE18" i="34"/>
  <c r="AB11" i="36"/>
  <c r="AK25" i="31"/>
  <c r="AE17" i="34"/>
  <c r="AD17" i="35"/>
  <c r="AH18" i="33"/>
  <c r="AD11" i="36"/>
  <c r="AH16" i="34"/>
  <c r="AH18" i="35"/>
  <c r="AD26" i="31"/>
  <c r="AC25" i="31"/>
  <c r="K14" i="31"/>
  <c r="K16" i="31" s="1"/>
  <c r="S14" i="31"/>
  <c r="S16" i="31" s="1"/>
  <c r="AK16" i="31" s="1"/>
  <c r="AK18" i="33"/>
  <c r="AI17" i="34"/>
  <c r="AG18" i="34"/>
  <c r="AH17" i="35"/>
  <c r="AI11" i="36"/>
  <c r="AH19" i="36"/>
  <c r="AF18" i="36"/>
  <c r="AD10" i="31"/>
  <c r="AD17" i="33"/>
  <c r="AE10" i="31"/>
  <c r="AC17" i="36"/>
  <c r="AL26" i="31"/>
  <c r="AF10" i="31"/>
  <c r="AG18" i="33"/>
  <c r="AF17" i="34"/>
  <c r="AD18" i="35"/>
  <c r="AE17" i="36"/>
  <c r="V25" i="31"/>
  <c r="AH17" i="33"/>
  <c r="AD25" i="31"/>
  <c r="L14" i="31"/>
  <c r="L16" i="31" s="1"/>
  <c r="AL18" i="33"/>
  <c r="AK17" i="33"/>
  <c r="AL10" i="34"/>
  <c r="AK16" i="34"/>
  <c r="AL10" i="35"/>
  <c r="AJ11" i="36"/>
  <c r="V16" i="33"/>
  <c r="AO9" i="34"/>
  <c r="AM19" i="36"/>
  <c r="AJ13" i="31"/>
  <c r="AD18" i="34"/>
  <c r="AB19" i="36"/>
  <c r="AO9" i="35"/>
  <c r="AD17" i="34"/>
  <c r="M14" i="31"/>
  <c r="AB10" i="33"/>
  <c r="AL17" i="33"/>
  <c r="AD16" i="33"/>
  <c r="AM10" i="34"/>
  <c r="AL18" i="34"/>
  <c r="AL16" i="35"/>
  <c r="AL18" i="35"/>
  <c r="AH18" i="36"/>
  <c r="AC18" i="35"/>
  <c r="AO8" i="35"/>
  <c r="AC17" i="34"/>
  <c r="AK26" i="31"/>
  <c r="AF18" i="34"/>
  <c r="AD17" i="36"/>
  <c r="AN7" i="31"/>
  <c r="AO7" i="36"/>
  <c r="AI18" i="33"/>
  <c r="AN9" i="31"/>
  <c r="AF26" i="31"/>
  <c r="AH10" i="31"/>
  <c r="AG26" i="31"/>
  <c r="AF25" i="31"/>
  <c r="AA10" i="31"/>
  <c r="AC10" i="33"/>
  <c r="AB16" i="33"/>
  <c r="AH16" i="33"/>
  <c r="AB10" i="34"/>
  <c r="AL17" i="34"/>
  <c r="AI16" i="34"/>
  <c r="AB10" i="35"/>
  <c r="AB16" i="35"/>
  <c r="AK19" i="36"/>
  <c r="AJ18" i="36"/>
  <c r="AN11" i="31"/>
  <c r="V26" i="31"/>
  <c r="AO7" i="33"/>
  <c r="AO5" i="36"/>
  <c r="V18" i="35"/>
  <c r="V17" i="35"/>
  <c r="AN8" i="31"/>
  <c r="AO6" i="36"/>
  <c r="AO5" i="33"/>
  <c r="AN6" i="31"/>
  <c r="V24" i="31"/>
  <c r="V17" i="33"/>
  <c r="AO9" i="33"/>
  <c r="V18" i="33"/>
  <c r="V17" i="36"/>
  <c r="V19" i="36"/>
  <c r="AO8" i="33"/>
  <c r="AO5" i="34"/>
  <c r="AO10" i="36"/>
  <c r="V18" i="36"/>
  <c r="AO8" i="36"/>
  <c r="AO7" i="35"/>
  <c r="V17" i="34"/>
  <c r="V18" i="34"/>
  <c r="V16" i="34"/>
  <c r="AI19" i="36"/>
  <c r="AK11" i="36"/>
  <c r="AJ19" i="36"/>
  <c r="AG18" i="36"/>
  <c r="AI18" i="36"/>
  <c r="U18" i="36"/>
  <c r="AM11" i="36"/>
  <c r="AK18" i="36"/>
  <c r="AE11" i="36"/>
  <c r="AM18" i="36"/>
  <c r="AF11" i="36"/>
  <c r="AE19" i="36"/>
  <c r="AI17" i="36"/>
  <c r="AG11" i="36"/>
  <c r="AF19" i="36"/>
  <c r="AG19" i="36"/>
  <c r="AE18" i="35"/>
  <c r="AF18" i="35"/>
  <c r="AG18" i="35"/>
  <c r="AE17" i="35"/>
  <c r="AF17" i="35"/>
  <c r="AI18" i="35"/>
  <c r="AG17" i="35"/>
  <c r="AJ18" i="35"/>
  <c r="AM10" i="35"/>
  <c r="AK18" i="35"/>
  <c r="AI17" i="35"/>
  <c r="AF16" i="35"/>
  <c r="AN6" i="35"/>
  <c r="AN10" i="35" s="1"/>
  <c r="AJ17" i="35"/>
  <c r="U16" i="35"/>
  <c r="AM16" i="35"/>
  <c r="AK17" i="35"/>
  <c r="AJ18" i="34"/>
  <c r="AJ17" i="34"/>
  <c r="AK17" i="34"/>
  <c r="AM18" i="34"/>
  <c r="AM17" i="34"/>
  <c r="AN8" i="34"/>
  <c r="AK18" i="34"/>
  <c r="AM16" i="34"/>
  <c r="AM17" i="33"/>
  <c r="AE18" i="33"/>
  <c r="AG10" i="33"/>
  <c r="AF16" i="33"/>
  <c r="AE17" i="33"/>
  <c r="AF17" i="33"/>
  <c r="AG17" i="33"/>
  <c r="AF18" i="33"/>
  <c r="AI17" i="33"/>
  <c r="AM10" i="33"/>
  <c r="AJ17" i="33"/>
  <c r="U18" i="33"/>
  <c r="AM18" i="33"/>
  <c r="AE26" i="31"/>
  <c r="AE25" i="31"/>
  <c r="U10" i="31"/>
  <c r="AM10" i="31" s="1"/>
  <c r="AI26" i="31"/>
  <c r="AI25" i="31"/>
  <c r="AJ25" i="31"/>
  <c r="AA26" i="31"/>
  <c r="AM25" i="31"/>
  <c r="AL25" i="31"/>
  <c r="AA25" i="31"/>
  <c r="AB24" i="31"/>
  <c r="AB25" i="31"/>
  <c r="AJ24" i="31"/>
  <c r="AN17" i="33"/>
  <c r="AM26" i="31"/>
  <c r="AM24" i="31"/>
  <c r="AN17" i="36"/>
  <c r="AC19" i="36"/>
  <c r="U13" i="31"/>
  <c r="AL13" i="31"/>
  <c r="O14" i="31"/>
  <c r="AK24" i="31"/>
  <c r="AE16" i="33"/>
  <c r="AC18" i="33"/>
  <c r="AJ16" i="34"/>
  <c r="AH18" i="34"/>
  <c r="AJ10" i="35"/>
  <c r="AC16" i="35"/>
  <c r="AM18" i="35"/>
  <c r="AF17" i="36"/>
  <c r="AD19" i="36"/>
  <c r="AA13" i="31"/>
  <c r="Q14" i="31"/>
  <c r="U24" i="31"/>
  <c r="AL24" i="31"/>
  <c r="U26" i="31"/>
  <c r="AN7" i="33"/>
  <c r="AN10" i="33" s="1"/>
  <c r="AK10" i="35"/>
  <c r="AN8" i="36"/>
  <c r="AN18" i="36" s="1"/>
  <c r="AG17" i="36"/>
  <c r="AB13" i="31"/>
  <c r="R14" i="31"/>
  <c r="AA24" i="31"/>
  <c r="AG16" i="33"/>
  <c r="U17" i="33"/>
  <c r="U16" i="34"/>
  <c r="AL16" i="34"/>
  <c r="AE16" i="35"/>
  <c r="AC11" i="36"/>
  <c r="AH17" i="36"/>
  <c r="AC13" i="31"/>
  <c r="AD13" i="31"/>
  <c r="AC24" i="31"/>
  <c r="AI16" i="33"/>
  <c r="AB16" i="34"/>
  <c r="U18" i="34"/>
  <c r="AG16" i="35"/>
  <c r="U17" i="35"/>
  <c r="AJ17" i="36"/>
  <c r="AE13" i="31"/>
  <c r="AD24" i="31"/>
  <c r="AJ16" i="33"/>
  <c r="AN6" i="34"/>
  <c r="AC16" i="34"/>
  <c r="AH16" i="35"/>
  <c r="AK17" i="36"/>
  <c r="AE24" i="31"/>
  <c r="AK16" i="33"/>
  <c r="AD16" i="34"/>
  <c r="AI16" i="35"/>
  <c r="U17" i="36"/>
  <c r="AL17" i="36"/>
  <c r="AG13" i="31"/>
  <c r="AF24" i="31"/>
  <c r="U25" i="31"/>
  <c r="U16" i="33"/>
  <c r="AL16" i="33"/>
  <c r="AE16" i="34"/>
  <c r="AJ16" i="35"/>
  <c r="AM17" i="36"/>
  <c r="AG24" i="31"/>
  <c r="AM16" i="33"/>
  <c r="AF16" i="34"/>
  <c r="AK16" i="35"/>
  <c r="AB17" i="36"/>
  <c r="U19" i="36"/>
  <c r="AH24" i="31"/>
  <c r="U17" i="34"/>
  <c r="AI24" i="31"/>
  <c r="AK14" i="31" l="1"/>
  <c r="AB14" i="31"/>
  <c r="AN13" i="31"/>
  <c r="AD14" i="31"/>
  <c r="AF14" i="31"/>
  <c r="AC14" i="31"/>
  <c r="AO17" i="34"/>
  <c r="AN17" i="35"/>
  <c r="AA14" i="31"/>
  <c r="AO18" i="34"/>
  <c r="AO17" i="35"/>
  <c r="AO16" i="33"/>
  <c r="AO17" i="36"/>
  <c r="AO16" i="34"/>
  <c r="AO10" i="34"/>
  <c r="AO18" i="36"/>
  <c r="AN10" i="31"/>
  <c r="AO18" i="35"/>
  <c r="S18" i="31"/>
  <c r="AK18" i="31" s="1"/>
  <c r="AO17" i="33"/>
  <c r="AL14" i="31"/>
  <c r="M16" i="31"/>
  <c r="AE16" i="31" s="1"/>
  <c r="AE14" i="31"/>
  <c r="AO19" i="36"/>
  <c r="AN26" i="31"/>
  <c r="AO10" i="33"/>
  <c r="AN25" i="31"/>
  <c r="AO18" i="33"/>
  <c r="AN24" i="31"/>
  <c r="AO11" i="36"/>
  <c r="AO16" i="35"/>
  <c r="AO10" i="35"/>
  <c r="AN19" i="36"/>
  <c r="AN18" i="35"/>
  <c r="AN16" i="35"/>
  <c r="AN10" i="34"/>
  <c r="T18" i="31"/>
  <c r="AL16" i="31"/>
  <c r="AN11" i="36"/>
  <c r="J18" i="31"/>
  <c r="AB16" i="31"/>
  <c r="AN16" i="34"/>
  <c r="R16" i="31"/>
  <c r="AJ14" i="31"/>
  <c r="O16" i="31"/>
  <c r="AH14" i="31"/>
  <c r="AG14" i="31"/>
  <c r="AN18" i="34"/>
  <c r="L18" i="31"/>
  <c r="AD16" i="31"/>
  <c r="U14" i="31"/>
  <c r="AM13" i="31"/>
  <c r="K18" i="31"/>
  <c r="AC18" i="31" s="1"/>
  <c r="AC16" i="31"/>
  <c r="I18" i="31"/>
  <c r="AA18" i="31" s="1"/>
  <c r="AA16" i="31"/>
  <c r="Q16" i="31"/>
  <c r="AI14" i="31"/>
  <c r="N18" i="31"/>
  <c r="AN16" i="33"/>
  <c r="AN18" i="33"/>
  <c r="AN17" i="34"/>
  <c r="AN14" i="31" l="1"/>
  <c r="AF16" i="31"/>
  <c r="AL18" i="31"/>
  <c r="M18" i="31"/>
  <c r="AE18" i="31" s="1"/>
  <c r="AH16" i="31"/>
  <c r="AG16" i="31"/>
  <c r="O18" i="31"/>
  <c r="AB18" i="31"/>
  <c r="AM14" i="31"/>
  <c r="U16" i="31"/>
  <c r="AN16" i="31" s="1"/>
  <c r="AI16" i="31"/>
  <c r="Q18" i="31"/>
  <c r="AI18" i="31" s="1"/>
  <c r="AJ16" i="31"/>
  <c r="R18" i="31"/>
  <c r="AD18" i="31"/>
  <c r="AF18" i="31" l="1"/>
  <c r="AJ18" i="31"/>
  <c r="AH18" i="31"/>
  <c r="AG18" i="31"/>
  <c r="U18" i="31"/>
  <c r="AM16" i="31"/>
  <c r="AM18" i="31" l="1"/>
  <c r="AN18" i="31"/>
  <c r="N18" i="25" l="1"/>
  <c r="N6" i="25"/>
  <c r="O17" i="14" l="1"/>
  <c r="P18" i="25"/>
  <c r="Q6" i="25"/>
  <c r="P6" i="25"/>
  <c r="O6" i="25"/>
  <c r="G28" i="25"/>
  <c r="H27" i="25"/>
  <c r="I28" i="25"/>
  <c r="F28" i="25"/>
  <c r="I29" i="25"/>
  <c r="G27" i="25"/>
  <c r="H18" i="30"/>
  <c r="H29" i="25"/>
  <c r="G17" i="28"/>
  <c r="F29" i="25"/>
  <c r="H18" i="28"/>
  <c r="I18" i="14"/>
  <c r="I27" i="25"/>
  <c r="H28" i="25"/>
  <c r="G29" i="25"/>
  <c r="O18" i="25"/>
  <c r="F27" i="25"/>
  <c r="E18" i="30"/>
  <c r="H18" i="29"/>
  <c r="E28" i="25"/>
  <c r="H17" i="14"/>
  <c r="G18" i="14"/>
  <c r="H17" i="30"/>
  <c r="E18" i="29"/>
  <c r="I17" i="28"/>
  <c r="E18" i="28"/>
  <c r="F18" i="28"/>
  <c r="F18" i="30"/>
  <c r="G18" i="28"/>
  <c r="I18" i="29"/>
  <c r="E29" i="25"/>
  <c r="Q18" i="25"/>
  <c r="H18" i="14"/>
  <c r="Q18" i="30" l="1"/>
  <c r="Q18" i="14"/>
  <c r="Q18" i="28"/>
  <c r="F17" i="14"/>
  <c r="G18" i="30"/>
  <c r="R18" i="14"/>
  <c r="G19" i="30"/>
  <c r="E17" i="29"/>
  <c r="P18" i="28"/>
  <c r="P17" i="30"/>
  <c r="G17" i="30"/>
  <c r="H19" i="14"/>
  <c r="G19" i="28"/>
  <c r="I19" i="28"/>
  <c r="O12" i="25"/>
  <c r="N12" i="25"/>
  <c r="Q17" i="25"/>
  <c r="Q19" i="30"/>
  <c r="Q18" i="29"/>
  <c r="O18" i="28"/>
  <c r="F19" i="14"/>
  <c r="E19" i="14"/>
  <c r="R17" i="14"/>
  <c r="H19" i="30"/>
  <c r="E18" i="14"/>
  <c r="E19" i="29"/>
  <c r="R18" i="29"/>
  <c r="O18" i="30"/>
  <c r="P18" i="30"/>
  <c r="E17" i="30"/>
  <c r="E19" i="30"/>
  <c r="E17" i="28"/>
  <c r="E19" i="28"/>
  <c r="I18" i="28"/>
  <c r="P18" i="14"/>
  <c r="I17" i="30"/>
  <c r="I19" i="30"/>
  <c r="R18" i="30"/>
  <c r="I18" i="30"/>
  <c r="F17" i="30"/>
  <c r="F19" i="30"/>
  <c r="F19" i="29"/>
  <c r="F17" i="29"/>
  <c r="H17" i="29"/>
  <c r="H19" i="29"/>
  <c r="G18" i="29"/>
  <c r="P18" i="29"/>
  <c r="G19" i="29"/>
  <c r="G17" i="29"/>
  <c r="F18" i="29"/>
  <c r="O18" i="29"/>
  <c r="I17" i="29"/>
  <c r="I19" i="29"/>
  <c r="F19" i="28"/>
  <c r="F17" i="28"/>
  <c r="H17" i="28"/>
  <c r="H19" i="28"/>
  <c r="R17" i="28"/>
  <c r="I19" i="14"/>
  <c r="I17" i="14"/>
  <c r="G17" i="14"/>
  <c r="G19" i="14"/>
  <c r="F18" i="14"/>
  <c r="Q17" i="14"/>
  <c r="E17" i="14"/>
  <c r="O17" i="25" l="1"/>
  <c r="P17" i="25"/>
  <c r="R19" i="14"/>
  <c r="P19" i="30"/>
  <c r="R18" i="28"/>
  <c r="N17" i="25"/>
  <c r="Q17" i="30"/>
  <c r="R19" i="28"/>
  <c r="P20" i="25"/>
  <c r="Q20" i="25"/>
  <c r="O19" i="30"/>
  <c r="O17" i="30"/>
  <c r="R17" i="30"/>
  <c r="R19" i="30"/>
  <c r="Q19" i="29"/>
  <c r="Q17" i="29"/>
  <c r="R19" i="29"/>
  <c r="R17" i="29"/>
  <c r="P19" i="29"/>
  <c r="P17" i="29"/>
  <c r="O17" i="29"/>
  <c r="O19" i="29"/>
  <c r="P19" i="28"/>
  <c r="P17" i="28"/>
  <c r="O19" i="28"/>
  <c r="O17" i="28"/>
  <c r="Q19" i="28"/>
  <c r="Q17" i="28"/>
  <c r="Q19" i="14"/>
  <c r="O18" i="14"/>
  <c r="O19" i="14"/>
  <c r="P17" i="14"/>
  <c r="P19" i="14"/>
  <c r="N19" i="25" l="1"/>
  <c r="N16" i="25"/>
  <c r="J26" i="23"/>
  <c r="J25" i="23"/>
  <c r="J20" i="23"/>
  <c r="L51" i="19"/>
  <c r="L30" i="19"/>
  <c r="O7" i="25"/>
  <c r="O8" i="25"/>
  <c r="O13" i="25"/>
  <c r="O14" i="25"/>
  <c r="O20" i="25"/>
  <c r="O5" i="25"/>
  <c r="N14" i="25"/>
  <c r="N20" i="25"/>
  <c r="N15" i="25"/>
  <c r="N7" i="25"/>
  <c r="N5" i="25"/>
  <c r="O28" i="25" l="1"/>
  <c r="N28" i="25"/>
  <c r="O29" i="25"/>
  <c r="O27" i="25"/>
  <c r="O16" i="25"/>
  <c r="O19" i="25"/>
  <c r="O15" i="25"/>
  <c r="L33" i="19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N8" i="25"/>
  <c r="N13" i="25"/>
  <c r="N29" i="25" l="1"/>
  <c r="N27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L15" i="19"/>
  <c r="L7" i="19"/>
  <c r="L16" i="19"/>
  <c r="L5" i="19"/>
  <c r="L22" i="19" l="1"/>
  <c r="N21" i="25"/>
  <c r="O21" i="25" l="1"/>
  <c r="I26" i="23"/>
  <c r="I25" i="23"/>
  <c r="I20" i="23"/>
  <c r="I9" i="23"/>
  <c r="I53" i="19"/>
  <c r="I36" i="19"/>
  <c r="I13" i="19"/>
  <c r="I6" i="19"/>
  <c r="E27" i="25"/>
  <c r="I5" i="19" l="1"/>
  <c r="I22" i="19" s="1"/>
  <c r="I24" i="19" s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Q9" i="25" l="1"/>
  <c r="Q8" i="25"/>
  <c r="P9" i="25" l="1"/>
  <c r="P8" i="25"/>
  <c r="Q13" i="25"/>
  <c r="P12" i="25" l="1"/>
  <c r="Q12" i="25"/>
  <c r="P14" i="25"/>
  <c r="Q14" i="25"/>
  <c r="P5" i="25"/>
  <c r="Q5" i="25"/>
  <c r="Q7" i="25"/>
  <c r="P7" i="25"/>
  <c r="P28" i="25" s="1"/>
  <c r="P13" i="25"/>
  <c r="P27" i="25" l="1"/>
  <c r="Q29" i="25"/>
  <c r="Q27" i="25"/>
  <c r="Q28" i="25"/>
  <c r="P29" i="25"/>
  <c r="Q15" i="25"/>
  <c r="P15" i="25"/>
  <c r="P16" i="25" l="1"/>
  <c r="Q16" i="25"/>
  <c r="P19" i="25" l="1"/>
  <c r="Q19" i="25"/>
  <c r="P21" i="25"/>
  <c r="Q21" i="25"/>
  <c r="U19" i="30" l="1"/>
  <c r="U17" i="30"/>
  <c r="K20" i="23" l="1"/>
  <c r="K26" i="23" l="1"/>
  <c r="K25" i="23"/>
  <c r="K9" i="23"/>
</calcChain>
</file>

<file path=xl/sharedStrings.xml><?xml version="1.0" encoding="utf-8"?>
<sst xmlns="http://schemas.openxmlformats.org/spreadsheetml/2006/main" count="1174" uniqueCount="223">
  <si>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</si>
  <si>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</si>
  <si>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</si>
  <si>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</si>
  <si>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</si>
  <si>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</si>
  <si>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</si>
  <si>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</si>
  <si>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</si>
  <si>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</si>
  <si>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</si>
  <si>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</si>
  <si>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</si>
  <si>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</si>
  <si>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</si>
  <si>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</si>
  <si>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</si>
  <si>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</si>
  <si>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6M 2023</t>
  </si>
  <si>
    <t>9M 2023</t>
  </si>
  <si>
    <t>12M 2023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</si>
  <si>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</si>
  <si>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</si>
  <si>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</si>
  <si>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</si>
  <si>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</si>
  <si>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</si>
  <si>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</si>
  <si>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</si>
  <si>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</si>
  <si>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IFRS 17&amp;9</t>
  </si>
  <si>
    <t>IFRS 4</t>
  </si>
  <si>
    <t>INDEX</t>
  </si>
  <si>
    <t>Balance sheet</t>
  </si>
  <si>
    <t>P&amp;L</t>
  </si>
  <si>
    <t>Business lines</t>
  </si>
  <si>
    <t>Home</t>
  </si>
  <si>
    <t>Health</t>
  </si>
  <si>
    <t>Other</t>
  </si>
  <si>
    <t>Investments</t>
  </si>
  <si>
    <t>Solvency</t>
  </si>
  <si>
    <t>BALANCE SHEET - IFRS 17&amp;9</t>
  </si>
  <si>
    <t>MOTOR - IFRS 17&amp;9</t>
  </si>
  <si>
    <t>INCOME STATEMENT - IFRS 17&amp;9</t>
  </si>
  <si>
    <t>STANDALONE QUARTERS</t>
  </si>
  <si>
    <t>SOLVENCY</t>
  </si>
  <si>
    <t>Thousand euro</t>
  </si>
  <si>
    <t>Thousand euro, ratios in %</t>
  </si>
  <si>
    <t>BUSINESS LINES - IFRS 17&amp;9</t>
  </si>
  <si>
    <t>HOME - IFRS 17&amp;9</t>
  </si>
  <si>
    <t>HEALTH - IFRS 17&amp;9</t>
  </si>
  <si>
    <t>INCOME STATEMENT - IFRS 4</t>
  </si>
  <si>
    <t>OTHER INSURANCE BUSINESSES - IFRS 17&amp;9</t>
  </si>
  <si>
    <t>INSURANCE INCOME</t>
  </si>
  <si>
    <t>GROSS WRITTEN PREMIUMS</t>
  </si>
  <si>
    <t>COMBINED RATIO</t>
  </si>
  <si>
    <t>TECHNICAL RESULT</t>
  </si>
  <si>
    <t>ORDINARY INSURANCE ACTIVITIES INCOME, NET OF REINSURANCE</t>
  </si>
  <si>
    <t>Claims for the year, net of reinsurance</t>
  </si>
  <si>
    <t>Net operating expenses</t>
  </si>
  <si>
    <t>Loss ratio</t>
  </si>
  <si>
    <t>Expense ratio</t>
  </si>
  <si>
    <t>1Q 2023</t>
  </si>
  <si>
    <t>2Q 2023</t>
  </si>
  <si>
    <t>3Q 2023</t>
  </si>
  <si>
    <t>4Q 2023</t>
  </si>
  <si>
    <t>ORDINARY INSURANCE ACTIVITIES INCOME</t>
  </si>
  <si>
    <t>INVESTMENTS RESULT</t>
  </si>
  <si>
    <t>Credited interest</t>
  </si>
  <si>
    <t>Insurance and financial result</t>
  </si>
  <si>
    <t>Other income/expenses and non-assignable expenses</t>
  </si>
  <si>
    <t>Income tax</t>
  </si>
  <si>
    <t>ASSETS</t>
  </si>
  <si>
    <t>Cash and cash equivalents</t>
  </si>
  <si>
    <t>Financial assets at fair value through P&amp;L</t>
  </si>
  <si>
    <t>Equity instruments</t>
  </si>
  <si>
    <t>Financial assets at fair value through equity</t>
  </si>
  <si>
    <t>Debt securities</t>
  </si>
  <si>
    <t>Financial assets at amortised cost</t>
  </si>
  <si>
    <t>Hedging derivatives</t>
  </si>
  <si>
    <t>Reinsurance contract assets</t>
  </si>
  <si>
    <t>Property, plant and equipment and investment property</t>
  </si>
  <si>
    <t>Tangible fixed assets</t>
  </si>
  <si>
    <t>Investment property</t>
  </si>
  <si>
    <t>Intangible assets</t>
  </si>
  <si>
    <t>Other assets</t>
  </si>
  <si>
    <t>TOTAL ASSETS</t>
  </si>
  <si>
    <t>LIABILITIES AND EQUITY</t>
  </si>
  <si>
    <t>Financial liabilities at amortised cost</t>
  </si>
  <si>
    <t>Liabilities under insurance contracts</t>
  </si>
  <si>
    <t>Liabilities for remaining coverage</t>
  </si>
  <si>
    <t>Liabilities for claims incurred</t>
  </si>
  <si>
    <t>Non-technical provisions</t>
  </si>
  <si>
    <t>Other liabilities</t>
  </si>
  <si>
    <t>TOTAL LIABILITIES</t>
  </si>
  <si>
    <t>Equity</t>
  </si>
  <si>
    <t>Valuation adjustments</t>
  </si>
  <si>
    <t>OCI insurance contracts</t>
  </si>
  <si>
    <t>OCI reinsurance contracts</t>
  </si>
  <si>
    <t>TOTAL EQUITY</t>
  </si>
  <si>
    <t>TOTAL LIABILITIES AND EQUITY</t>
  </si>
  <si>
    <t>PREMIUMS EARNED, NET OF REINSURANCE</t>
  </si>
  <si>
    <t>Other technical income and expenses</t>
  </si>
  <si>
    <t>Income from investments</t>
  </si>
  <si>
    <t>Expenses from investments</t>
  </si>
  <si>
    <t>FINANCIAL RESULT</t>
  </si>
  <si>
    <t>TECHNICAL - FINANCIAL RESULT</t>
  </si>
  <si>
    <t>PROFIT/(LOSS) BEFORE TAX</t>
  </si>
  <si>
    <t>PROFIT/(LOSS) AFTER TAX</t>
  </si>
  <si>
    <t>Profit / (loss) from other activities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</si>
  <si>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</si>
  <si>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</si>
  <si>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</si>
  <si>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</si>
  <si>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</si>
  <si>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</si>
  <si>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</si>
  <si>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</si>
  <si>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</si>
  <si>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</si>
  <si>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</si>
  <si>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</si>
  <si>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</si>
  <si>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</si>
  <si>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</si>
  <si>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</si>
  <si>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</si>
  <si>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</si>
  <si>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</si>
  <si>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</si>
  <si>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</si>
  <si>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</si>
  <si>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</si>
  <si>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</si>
  <si>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</si>
  <si>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</si>
  <si>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</si>
  <si>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</si>
  <si>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</si>
  <si>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</si>
  <si>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</si>
  <si>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</si>
  <si>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</si>
  <si>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</si>
  <si>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</si>
  <si>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</si>
  <si>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</si>
  <si>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</si>
  <si>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</si>
  <si>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</si>
  <si>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</si>
  <si>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</si>
  <si>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</si>
  <si>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</si>
  <si>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</si>
  <si>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</si>
  <si>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</si>
  <si>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</si>
  <si>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</si>
  <si>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</si>
  <si>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</si>
  <si>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</si>
  <si>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</si>
  <si>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BUSINESS LINES - IFRS 4</t>
  </si>
  <si>
    <t>MOTOR - IFRS 4</t>
  </si>
  <si>
    <t>HOME - IFRS 4</t>
  </si>
  <si>
    <t>OTHER INSURANCE BUSINESSES - IFRS 4</t>
  </si>
  <si>
    <t>HEALTH - IFRS 4</t>
  </si>
  <si>
    <t>Combined ratio (IFRS4 - IFRS17)</t>
  </si>
  <si>
    <t>IFRS 17</t>
  </si>
  <si>
    <t>Premiums earned, net of reinsurance</t>
  </si>
  <si>
    <t>Insurance income, net of reinsurance</t>
  </si>
  <si>
    <t>Total claims</t>
  </si>
  <si>
    <t>Claims paid, net of reinsurance</t>
  </si>
  <si>
    <t>Claims expenses</t>
  </si>
  <si>
    <t>Losses on onerous contracts and adjustments</t>
  </si>
  <si>
    <t>Reinsurance recoverable loss component</t>
  </si>
  <si>
    <t>Change in reinsurer default effect</t>
  </si>
  <si>
    <t>LOSS RATIO</t>
  </si>
  <si>
    <t>Total expenses</t>
  </si>
  <si>
    <t>Acquisition expenses</t>
  </si>
  <si>
    <t>Administrative expenses</t>
  </si>
  <si>
    <t>Investment management expenses</t>
  </si>
  <si>
    <t>Other technical expenses</t>
  </si>
  <si>
    <t>Reinsurance commissions</t>
  </si>
  <si>
    <t>Profit sharing</t>
  </si>
  <si>
    <t>EXPENSE RATIO</t>
  </si>
  <si>
    <t>COMBINED RATIO (IFRS4 - IFRS17)</t>
  </si>
  <si>
    <t>Change in provision, net of reinsurance</t>
  </si>
  <si>
    <t>Change in the provision of settlement agreements</t>
  </si>
  <si>
    <t>3M 2024</t>
  </si>
  <si>
    <t>1Q 2024</t>
  </si>
  <si>
    <t>n.a.</t>
  </si>
  <si>
    <t>Balance</t>
  </si>
  <si>
    <t>BALANCE SHEET - IFRS 4</t>
  </si>
  <si>
    <t>Equity investments</t>
  </si>
  <si>
    <t>Property, plant and equipment</t>
  </si>
  <si>
    <t>Provision for unearned premiums</t>
  </si>
  <si>
    <t>Provision for unexpired risks</t>
  </si>
  <si>
    <t>Provision for claims</t>
  </si>
  <si>
    <t>Available-for-sale financial assets</t>
  </si>
  <si>
    <t>Loans and receivables</t>
  </si>
  <si>
    <t>Reinsurers' share of technical provisions</t>
  </si>
  <si>
    <t>Debt and accounts payable</t>
  </si>
  <si>
    <t>Technical provisions</t>
  </si>
  <si>
    <t>Profit/(loss) reconciliation IFRS 17&amp;9</t>
  </si>
  <si>
    <t>PROFIT/(LOSS) RECONCILIATION IFRS 17&amp;9</t>
  </si>
  <si>
    <t>Profit/(loss) before tax IFRS 4</t>
  </si>
  <si>
    <t>Profit/(loss) before tax IFRS 17&amp;9</t>
  </si>
  <si>
    <t>Realised gains in equities</t>
  </si>
  <si>
    <t>Mutual funds MTM</t>
  </si>
  <si>
    <t>Unwinding of interest discount</t>
  </si>
  <si>
    <t>Other adjustments</t>
  </si>
  <si>
    <t>Fixed income impairment</t>
  </si>
  <si>
    <t>LIC (gross and ceded)</t>
  </si>
  <si>
    <t>6M 2024</t>
  </si>
  <si>
    <t>2Q 2024</t>
  </si>
  <si>
    <t>Administration expenses</t>
  </si>
  <si>
    <t>POLICYHOLDERS</t>
  </si>
  <si>
    <t>9M 2024</t>
  </si>
  <si>
    <t>3Q 2024</t>
  </si>
  <si>
    <t>Profit/(loss) before tax IFRS 4 + NIC 38</t>
  </si>
  <si>
    <t>NIC 38 (Intangible assets)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</si>
</sst>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3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6" fillId="0" borderId="0" xfId="7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7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8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2 6" xfId="7" xr:uid="{157F8FCA-0C82-424F-9565-B785A5957110}"/>
    <cellStyle name="Normal 5" xfId="4" xr:uid="{06D17B51-E801-4572-B6B8-C55CA8E92F74}"/>
    <cellStyle name="Normal 5 2 2" xfId="6" xr:uid="{DA240A46-4701-4506-BA72-A43E9E3502AE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685800</xdr:colOff>
      <xdr:row>28</xdr:row>
      <xdr:rowOff>9526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0" y="1"/>
          <a:ext cx="5391150" cy="468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6</xdr:col>
      <xdr:colOff>685800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1" y="1"/>
          <a:ext cx="5391149" cy="4752974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Supplement</a:t>
          </a:r>
        </a:p>
      </xdr:txBody>
    </xdr:sp>
    <xdr:clientData/>
  </xdr:twoCellAnchor>
  <xdr:twoCellAnchor>
    <xdr:from>
      <xdr:col>0</xdr:col>
      <xdr:colOff>112395</xdr:colOff>
      <xdr:row>24</xdr:row>
      <xdr:rowOff>7621</xdr:rowOff>
    </xdr:from>
    <xdr:to>
      <xdr:col>3</xdr:col>
      <xdr:colOff>733425</xdr:colOff>
      <xdr:row>27</xdr:row>
      <xdr:rowOff>0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3865246"/>
          <a:ext cx="2907030" cy="3733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September 2024 Results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6" width="12.42578125" style="2" customWidth="1"/>
    <col min="7" max="7" width="10.85546875" style="2" customWidth="1"/>
    <col min="8" max="8" width="36.140625" style="10" bestFit="1" customWidth="1"/>
    <col min="9" max="16384" width="11.42578125" style="2"/>
  </cols>
  <sheetData>
    <row r="1" spans="8:8" ht="18.75" customHeight="1" x14ac:dyDescent="0.2">
      <c r="H1" s="1" t="s">
        <v>32</v>
      </c>
    </row>
    <row r="2" spans="8:8" ht="7.5" customHeight="1" x14ac:dyDescent="0.2">
      <c r="H2" s="3"/>
    </row>
    <row r="3" spans="8:8" ht="15" customHeight="1" x14ac:dyDescent="0.2">
      <c r="H3" s="4" t="s">
        <v>30</v>
      </c>
    </row>
    <row r="4" spans="8:8" ht="15" customHeight="1" x14ac:dyDescent="0.2">
      <c r="H4" s="5" t="s">
        <v>33</v>
      </c>
    </row>
    <row r="5" spans="8:8" ht="15" customHeight="1" x14ac:dyDescent="0.2">
      <c r="H5" s="5" t="s">
        <v>34</v>
      </c>
    </row>
    <row r="6" spans="8:8" ht="15" customHeight="1" x14ac:dyDescent="0.2">
      <c r="H6" s="5" t="s">
        <v>35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36</v>
      </c>
    </row>
    <row r="9" spans="8:8" ht="15" customHeight="1" x14ac:dyDescent="0.2">
      <c r="H9" s="6" t="s">
        <v>37</v>
      </c>
    </row>
    <row r="10" spans="8:8" ht="15" customHeight="1" x14ac:dyDescent="0.2">
      <c r="H10" s="6" t="s">
        <v>38</v>
      </c>
    </row>
    <row r="11" spans="8:8" ht="7.5" customHeight="1" x14ac:dyDescent="0.2">
      <c r="H11" s="3"/>
    </row>
    <row r="12" spans="8:8" ht="15" customHeight="1" x14ac:dyDescent="0.2">
      <c r="H12" s="4" t="s">
        <v>31</v>
      </c>
    </row>
    <row r="13" spans="8:8" ht="15" customHeight="1" x14ac:dyDescent="0.2">
      <c r="H13" s="5" t="s">
        <v>193</v>
      </c>
    </row>
    <row r="14" spans="8:8" ht="15" customHeight="1" x14ac:dyDescent="0.2">
      <c r="H14" s="5" t="s">
        <v>34</v>
      </c>
    </row>
    <row r="15" spans="8:8" ht="15" customHeight="1" x14ac:dyDescent="0.2">
      <c r="H15" s="5" t="s">
        <v>35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36</v>
      </c>
    </row>
    <row r="18" spans="1:8" ht="15" customHeight="1" x14ac:dyDescent="0.2">
      <c r="H18" s="6" t="s">
        <v>37</v>
      </c>
    </row>
    <row r="19" spans="1:8" ht="15" customHeight="1" x14ac:dyDescent="0.2">
      <c r="H19" s="6" t="s">
        <v>38</v>
      </c>
    </row>
    <row r="20" spans="1:8" ht="7.5" customHeight="1" x14ac:dyDescent="0.2">
      <c r="H20" s="3"/>
    </row>
    <row r="21" spans="1:8" x14ac:dyDescent="0.2">
      <c r="H21" s="7" t="s">
        <v>205</v>
      </c>
    </row>
    <row r="22" spans="1:8" ht="7.5" customHeight="1" x14ac:dyDescent="0.2">
      <c r="H22" s="3"/>
    </row>
    <row r="23" spans="1:8" x14ac:dyDescent="0.2">
      <c r="H23" s="7" t="s">
        <v>168</v>
      </c>
    </row>
    <row r="24" spans="1:8" ht="7.5" customHeight="1" x14ac:dyDescent="0.2">
      <c r="H24" s="3"/>
    </row>
    <row r="25" spans="1:8" x14ac:dyDescent="0.2">
      <c r="H25" s="4" t="s">
        <v>39</v>
      </c>
    </row>
    <row r="26" spans="1:8" ht="7.5" customHeight="1" x14ac:dyDescent="0.2">
      <c r="H26" s="4"/>
    </row>
    <row r="27" spans="1:8" x14ac:dyDescent="0.2">
      <c r="H27" s="4" t="s">
        <v>40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S - IFRS 17&amp;9'!A1" display="Balance sheet" xr:uid="{FE2BEE06-75C7-458B-8E29-1B6FC9F4F468}"/>
    <hyperlink ref="H5" location="'P&amp;L - IFRS 17&amp;9'!A1" display="P&amp;L" xr:uid="{8C6665BE-6ED0-43FA-91AF-EBEDC746B0DA}"/>
    <hyperlink ref="H6" location="'LoB - IFRS 17&amp;9'!A1" display="Business lines" xr:uid="{E70D77EB-26A1-41E1-AB47-54ADE5E3CC66}"/>
    <hyperlink ref="H8" location="'Home - IFRS 17&amp;9'!A1" display="Home" xr:uid="{AB5156D6-EA76-429A-BBDD-3B3C1DC45395}"/>
    <hyperlink ref="H9" location="'Health - IFRS 17&amp;9'!A1" display="Health" xr:uid="{F029259D-3D98-4A75-8E82-F7BA2FDA8A97}"/>
    <hyperlink ref="H10" location="'Other - IFRS 17&amp;9'!A1" display="Other" xr:uid="{E00B0154-20B2-4BDE-9A31-EDF9564A2FB3}"/>
    <hyperlink ref="H25" location="Investments!A1" display="Investments" xr:uid="{B737B1AA-133E-49F4-B9D1-C05F75064CE0}"/>
    <hyperlink ref="H27" location="SII!A1" display="Solvency" xr:uid="{008650B0-7C88-4A41-8497-3E1E93E0CC5E}"/>
    <hyperlink ref="H7" location="'Motor - IFRS 17&amp;9'!A1" display="Motor" xr:uid="{FE9C15AC-4688-4226-814C-BEE32E925A47}"/>
    <hyperlink ref="H14" location="'P&amp;L - IFRS 4'!A1" display="P&amp;L" xr:uid="{A2E814B9-2EB9-465F-8ECB-28DCD336A81C}"/>
    <hyperlink ref="H15" location="'LoB - IFRS 4'!A1" display="Business lines" xr:uid="{11689757-B3F6-428C-8D60-3BF86FFD9A3E}"/>
    <hyperlink ref="H16" location="'Motor - IFRS 4'!A1" display="Motor" xr:uid="{1A20652F-C454-4CB8-9EAD-5D022499294E}"/>
    <hyperlink ref="H17" location="'Home - IFRS 4'!A1" display="Home" xr:uid="{19B8343C-592B-415F-8EF4-E6C9ED2D6CCA}"/>
    <hyperlink ref="H18" location="'Health  - IFRS 4'!A1" display="Health" xr:uid="{2B6417BA-6DEC-4F58-9516-F1461FF09303}"/>
    <hyperlink ref="H19" location="'Other - IFRS 4'!A1" display="Other" xr:uid="{6DAAA5AE-A4DB-426E-82AA-10860501E1AD}"/>
    <hyperlink ref="H23" location="'Combined Ratio'!A1" display="Combined ratio (IFRS4 - IFRS17)" xr:uid="{84D4C074-227F-4495-9743-F1BAA4ECEDD0}"/>
    <hyperlink ref="H13" location="'BS - IFRS 4'!A1" display="Balance" xr:uid="{6E5B6813-F6E8-4660-99F1-34CE3F3149FC}"/>
    <hyperlink ref="H21" location="'P&amp;L reconciliation IFRS 17&amp;9'!A1" display="Profit/(loss) reconciliation IFRS 17&amp;9" xr:uid="{A96478C5-8F08-4808-AECD-218054889E14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8216-417E-40BA-BD55-6CBF5671D011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32</v>
      </c>
      <c r="D2" s="14" t="s">
        <v>194</v>
      </c>
      <c r="E2" s="15"/>
      <c r="F2" s="15"/>
      <c r="G2" s="15"/>
      <c r="H2" s="15"/>
      <c r="I2" s="15"/>
      <c r="J2" s="15"/>
      <c r="K2" s="15"/>
    </row>
    <row r="3" spans="2:11" x14ac:dyDescent="0.25">
      <c r="D3" s="162"/>
      <c r="E3" s="162"/>
      <c r="F3" s="162"/>
      <c r="G3" s="162"/>
      <c r="H3" s="162"/>
      <c r="I3" s="162"/>
      <c r="J3" s="162"/>
    </row>
    <row r="4" spans="2:11" ht="15" thickBot="1" x14ac:dyDescent="0.3">
      <c r="D4" s="16" t="s">
        <v>72</v>
      </c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219</v>
      </c>
    </row>
    <row r="5" spans="2:11" x14ac:dyDescent="0.25">
      <c r="B5" s="163"/>
      <c r="D5" s="48" t="s">
        <v>73</v>
      </c>
      <c r="E5" s="56">
        <v>166776</v>
      </c>
      <c r="F5" s="56">
        <v>144937</v>
      </c>
      <c r="G5" s="56">
        <v>162500</v>
      </c>
      <c r="H5" s="56">
        <v>115788</v>
      </c>
      <c r="I5" s="56">
        <v>51661</v>
      </c>
      <c r="J5" s="56">
        <v>41746</v>
      </c>
      <c r="K5" s="57">
        <v>33160</v>
      </c>
    </row>
    <row r="6" spans="2:11" x14ac:dyDescent="0.25">
      <c r="B6" s="163"/>
      <c r="D6" s="48" t="s">
        <v>200</v>
      </c>
      <c r="E6" s="56">
        <f t="shared" ref="E6:J6" si="0">SUM(E7:E8)</f>
        <v>782715</v>
      </c>
      <c r="F6" s="56">
        <f t="shared" si="0"/>
        <v>834498</v>
      </c>
      <c r="G6" s="56">
        <f t="shared" si="0"/>
        <v>917074</v>
      </c>
      <c r="H6" s="56">
        <f t="shared" si="0"/>
        <v>864978</v>
      </c>
      <c r="I6" s="56">
        <f t="shared" si="0"/>
        <v>739664</v>
      </c>
      <c r="J6" s="56">
        <f t="shared" si="0"/>
        <v>871806</v>
      </c>
      <c r="K6" s="57">
        <f t="shared" ref="K6" si="1">SUM(K7:K8)</f>
        <v>969957</v>
      </c>
    </row>
    <row r="7" spans="2:11" x14ac:dyDescent="0.25">
      <c r="B7" s="163"/>
      <c r="D7" s="22" t="s">
        <v>195</v>
      </c>
      <c r="E7" s="56">
        <v>88763</v>
      </c>
      <c r="F7" s="56">
        <v>116688</v>
      </c>
      <c r="G7" s="56">
        <v>125855</v>
      </c>
      <c r="H7" s="56">
        <v>153963</v>
      </c>
      <c r="I7" s="56">
        <v>120886</v>
      </c>
      <c r="J7" s="56">
        <v>117523</v>
      </c>
      <c r="K7" s="57">
        <v>137077</v>
      </c>
    </row>
    <row r="8" spans="2:11" x14ac:dyDescent="0.25">
      <c r="B8" s="163"/>
      <c r="D8" s="22" t="s">
        <v>77</v>
      </c>
      <c r="E8" s="56">
        <v>693952</v>
      </c>
      <c r="F8" s="56">
        <v>717810</v>
      </c>
      <c r="G8" s="56">
        <v>791219</v>
      </c>
      <c r="H8" s="56">
        <v>711015</v>
      </c>
      <c r="I8" s="56">
        <v>618778</v>
      </c>
      <c r="J8" s="56">
        <v>754283</v>
      </c>
      <c r="K8" s="57">
        <v>832880</v>
      </c>
    </row>
    <row r="9" spans="2:11" x14ac:dyDescent="0.25">
      <c r="B9" s="163"/>
      <c r="D9" s="48" t="s">
        <v>201</v>
      </c>
      <c r="E9" s="56">
        <v>115951</v>
      </c>
      <c r="F9" s="56">
        <v>106760</v>
      </c>
      <c r="G9" s="56">
        <v>110373</v>
      </c>
      <c r="H9" s="56">
        <v>120615</v>
      </c>
      <c r="I9" s="56">
        <v>123448</v>
      </c>
      <c r="J9" s="56">
        <v>118303</v>
      </c>
      <c r="K9" s="57">
        <v>117701</v>
      </c>
    </row>
    <row r="10" spans="2:11" x14ac:dyDescent="0.25">
      <c r="B10" s="163"/>
      <c r="D10" s="48" t="s">
        <v>79</v>
      </c>
      <c r="E10" s="56">
        <v>0</v>
      </c>
      <c r="F10" s="56">
        <v>0</v>
      </c>
      <c r="G10" s="56">
        <v>0</v>
      </c>
      <c r="H10" s="56">
        <v>0</v>
      </c>
      <c r="I10" s="56">
        <v>7808</v>
      </c>
      <c r="J10" s="56">
        <v>5492</v>
      </c>
      <c r="K10" s="57">
        <v>3992</v>
      </c>
    </row>
    <row r="11" spans="2:11" x14ac:dyDescent="0.25">
      <c r="B11" s="163"/>
      <c r="D11" s="48" t="s">
        <v>202</v>
      </c>
      <c r="E11" s="56">
        <v>7318</v>
      </c>
      <c r="F11" s="56">
        <v>9517</v>
      </c>
      <c r="G11" s="56">
        <v>12477</v>
      </c>
      <c r="H11" s="56">
        <v>20153</v>
      </c>
      <c r="I11" s="56">
        <v>19263</v>
      </c>
      <c r="J11" s="56">
        <v>29214</v>
      </c>
      <c r="K11" s="57">
        <v>28395</v>
      </c>
    </row>
    <row r="12" spans="2:11" x14ac:dyDescent="0.25">
      <c r="B12" s="163"/>
      <c r="D12" s="48" t="s">
        <v>81</v>
      </c>
      <c r="E12" s="56">
        <f t="shared" ref="E12:K12" si="2">SUM(E13:E14)</f>
        <v>110844</v>
      </c>
      <c r="F12" s="56">
        <f t="shared" si="2"/>
        <v>114588</v>
      </c>
      <c r="G12" s="56">
        <f t="shared" si="2"/>
        <v>111282</v>
      </c>
      <c r="H12" s="56">
        <f t="shared" si="2"/>
        <v>110721</v>
      </c>
      <c r="I12" s="56">
        <f t="shared" si="2"/>
        <v>110044</v>
      </c>
      <c r="J12" s="56">
        <f t="shared" si="2"/>
        <v>101601</v>
      </c>
      <c r="K12" s="57">
        <f t="shared" si="2"/>
        <v>99308</v>
      </c>
    </row>
    <row r="13" spans="2:11" x14ac:dyDescent="0.25">
      <c r="B13" s="163"/>
      <c r="D13" s="22" t="s">
        <v>196</v>
      </c>
      <c r="E13" s="56">
        <v>43386</v>
      </c>
      <c r="F13" s="56">
        <v>47918</v>
      </c>
      <c r="G13" s="56">
        <v>45334</v>
      </c>
      <c r="H13" s="56">
        <v>45264</v>
      </c>
      <c r="I13" s="56">
        <v>45368</v>
      </c>
      <c r="J13" s="56">
        <v>43082</v>
      </c>
      <c r="K13" s="57">
        <v>39406.5</v>
      </c>
    </row>
    <row r="14" spans="2:11" x14ac:dyDescent="0.25">
      <c r="B14" s="163"/>
      <c r="D14" s="22" t="s">
        <v>83</v>
      </c>
      <c r="E14" s="56">
        <v>67458</v>
      </c>
      <c r="F14" s="56">
        <v>66670</v>
      </c>
      <c r="G14" s="56">
        <v>65948</v>
      </c>
      <c r="H14" s="56">
        <v>65457</v>
      </c>
      <c r="I14" s="56">
        <v>64676</v>
      </c>
      <c r="J14" s="56">
        <v>58519</v>
      </c>
      <c r="K14" s="57">
        <v>59901.5</v>
      </c>
    </row>
    <row r="15" spans="2:11" x14ac:dyDescent="0.25">
      <c r="B15" s="163"/>
      <c r="D15" s="48" t="s">
        <v>84</v>
      </c>
      <c r="E15" s="56">
        <v>7593</v>
      </c>
      <c r="F15" s="56">
        <v>11845</v>
      </c>
      <c r="G15" s="56">
        <v>12688</v>
      </c>
      <c r="H15" s="56">
        <v>14121</v>
      </c>
      <c r="I15" s="56">
        <v>14482</v>
      </c>
      <c r="J15" s="56">
        <v>29188</v>
      </c>
      <c r="K15" s="57">
        <v>36391</v>
      </c>
    </row>
    <row r="16" spans="2:11" ht="15" thickBot="1" x14ac:dyDescent="0.3">
      <c r="B16" s="163"/>
      <c r="D16" s="48" t="s">
        <v>85</v>
      </c>
      <c r="E16" s="56">
        <v>109552</v>
      </c>
      <c r="F16" s="56">
        <v>114481</v>
      </c>
      <c r="G16" s="56">
        <v>110139</v>
      </c>
      <c r="H16" s="56">
        <v>122102</v>
      </c>
      <c r="I16" s="56">
        <v>129045</v>
      </c>
      <c r="J16" s="56">
        <v>114223</v>
      </c>
      <c r="K16" s="57">
        <v>109009</v>
      </c>
    </row>
    <row r="17" spans="2:11" ht="15" thickBot="1" x14ac:dyDescent="0.3">
      <c r="B17" s="163"/>
      <c r="D17" s="165" t="s">
        <v>86</v>
      </c>
      <c r="E17" s="43">
        <f>SUM(E5,E6,E9,E11,E12,E15,E16)</f>
        <v>1300749</v>
      </c>
      <c r="F17" s="43">
        <f t="shared" ref="F17:H17" si="3">SUM(F5,F6,F9,F11,F12,F15,F16)</f>
        <v>1336626</v>
      </c>
      <c r="G17" s="43">
        <f t="shared" si="3"/>
        <v>1436533</v>
      </c>
      <c r="H17" s="43">
        <f t="shared" si="3"/>
        <v>1368478</v>
      </c>
      <c r="I17" s="43">
        <f>SUM(I5,I6,I9,I11,I12,I15,I16,I10)</f>
        <v>1195415</v>
      </c>
      <c r="J17" s="43">
        <f>SUM(J5,J6,J9,J11,J12,J15,J16,J10)</f>
        <v>1311573</v>
      </c>
      <c r="K17" s="44">
        <f>SUM(K5,K6,K9,K11,K12,K15,K16,K10)</f>
        <v>1397913</v>
      </c>
    </row>
    <row r="18" spans="2:11" s="10" customFormat="1" ht="9" customHeight="1" x14ac:dyDescent="0.25">
      <c r="B18" s="164"/>
      <c r="D18" s="33"/>
      <c r="E18" s="45"/>
      <c r="F18" s="45"/>
      <c r="G18" s="45"/>
      <c r="H18" s="45"/>
      <c r="I18" s="45"/>
      <c r="J18" s="45"/>
      <c r="K18" s="45"/>
    </row>
    <row r="19" spans="2:11" s="10" customFormat="1" x14ac:dyDescent="0.25">
      <c r="B19" s="164"/>
      <c r="D19" s="19"/>
      <c r="E19" s="81"/>
      <c r="F19" s="81"/>
      <c r="G19" s="81"/>
      <c r="J19" s="27"/>
      <c r="K19" s="27" t="s">
        <v>46</v>
      </c>
    </row>
    <row r="20" spans="2:11" x14ac:dyDescent="0.25">
      <c r="B20" s="163"/>
      <c r="D20" s="46"/>
      <c r="E20" s="85"/>
      <c r="F20" s="85"/>
      <c r="G20" s="85"/>
      <c r="H20" s="85"/>
      <c r="I20" s="85"/>
      <c r="J20" s="85"/>
    </row>
    <row r="21" spans="2:11" x14ac:dyDescent="0.25">
      <c r="B21" s="163"/>
    </row>
    <row r="22" spans="2:11" ht="15" thickBot="1" x14ac:dyDescent="0.3">
      <c r="B22" s="163"/>
      <c r="D22" s="16" t="s">
        <v>87</v>
      </c>
      <c r="E22" s="35" t="s">
        <v>6</v>
      </c>
      <c r="F22" s="35" t="s">
        <v>3</v>
      </c>
      <c r="G22" s="35" t="s">
        <v>4</v>
      </c>
      <c r="H22" s="35" t="s">
        <v>14</v>
      </c>
      <c r="I22" s="35" t="s">
        <v>16</v>
      </c>
      <c r="J22" s="35" t="s">
        <v>20</v>
      </c>
      <c r="K22" s="36" t="s">
        <v>219</v>
      </c>
    </row>
    <row r="23" spans="2:11" x14ac:dyDescent="0.25">
      <c r="B23" s="163"/>
      <c r="D23" s="48" t="s">
        <v>203</v>
      </c>
      <c r="E23" s="56">
        <v>211889</v>
      </c>
      <c r="F23" s="56">
        <v>207608</v>
      </c>
      <c r="G23" s="56">
        <v>174445</v>
      </c>
      <c r="H23" s="56">
        <v>175406</v>
      </c>
      <c r="I23" s="56">
        <v>59288</v>
      </c>
      <c r="J23" s="56">
        <v>63271</v>
      </c>
      <c r="K23" s="57">
        <v>71194</v>
      </c>
    </row>
    <row r="24" spans="2:11" x14ac:dyDescent="0.25">
      <c r="B24" s="163"/>
      <c r="D24" s="48" t="s">
        <v>79</v>
      </c>
      <c r="E24" s="56">
        <v>3385</v>
      </c>
      <c r="F24" s="56">
        <v>13584</v>
      </c>
      <c r="G24" s="56">
        <v>15167</v>
      </c>
      <c r="H24" s="56">
        <v>9447</v>
      </c>
      <c r="I24" s="56">
        <v>0</v>
      </c>
      <c r="J24" s="56">
        <v>0</v>
      </c>
      <c r="K24" s="57">
        <v>0</v>
      </c>
    </row>
    <row r="25" spans="2:11" x14ac:dyDescent="0.25">
      <c r="B25" s="163"/>
      <c r="D25" s="48" t="s">
        <v>204</v>
      </c>
      <c r="E25" s="56">
        <f t="shared" ref="E25:K25" si="4">SUM(E26:E28)</f>
        <v>725891</v>
      </c>
      <c r="F25" s="56">
        <f t="shared" si="4"/>
        <v>725860</v>
      </c>
      <c r="G25" s="56">
        <f t="shared" si="4"/>
        <v>716491</v>
      </c>
      <c r="H25" s="56">
        <f t="shared" si="4"/>
        <v>738158</v>
      </c>
      <c r="I25" s="56">
        <f t="shared" si="4"/>
        <v>791040</v>
      </c>
      <c r="J25" s="56">
        <f t="shared" si="4"/>
        <v>891048</v>
      </c>
      <c r="K25" s="57">
        <f t="shared" si="4"/>
        <v>931599</v>
      </c>
    </row>
    <row r="26" spans="2:11" x14ac:dyDescent="0.25">
      <c r="B26" s="163"/>
      <c r="D26" s="22" t="s">
        <v>197</v>
      </c>
      <c r="E26" s="56">
        <v>428118</v>
      </c>
      <c r="F26" s="56">
        <v>443115</v>
      </c>
      <c r="G26" s="56">
        <v>446423</v>
      </c>
      <c r="H26" s="56">
        <v>449740</v>
      </c>
      <c r="I26" s="56">
        <v>470783</v>
      </c>
      <c r="J26" s="56">
        <v>483431</v>
      </c>
      <c r="K26" s="57">
        <v>504245</v>
      </c>
    </row>
    <row r="27" spans="2:11" x14ac:dyDescent="0.25">
      <c r="B27" s="163"/>
      <c r="D27" s="22" t="s">
        <v>198</v>
      </c>
      <c r="E27" s="56">
        <v>0</v>
      </c>
      <c r="F27" s="56">
        <v>6115</v>
      </c>
      <c r="G27" s="56">
        <v>4622</v>
      </c>
      <c r="H27" s="56">
        <v>3280</v>
      </c>
      <c r="I27" s="56">
        <v>2378</v>
      </c>
      <c r="J27" s="56">
        <v>2686</v>
      </c>
      <c r="K27" s="57">
        <v>2686</v>
      </c>
    </row>
    <row r="28" spans="2:11" x14ac:dyDescent="0.25">
      <c r="B28" s="163"/>
      <c r="D28" s="22" t="s">
        <v>199</v>
      </c>
      <c r="E28" s="56">
        <v>297773</v>
      </c>
      <c r="F28" s="56">
        <v>276630</v>
      </c>
      <c r="G28" s="56">
        <v>265446</v>
      </c>
      <c r="H28" s="56">
        <v>285138</v>
      </c>
      <c r="I28" s="56">
        <v>317879</v>
      </c>
      <c r="J28" s="56">
        <v>404931</v>
      </c>
      <c r="K28" s="57">
        <v>424668</v>
      </c>
    </row>
    <row r="29" spans="2:11" x14ac:dyDescent="0.25">
      <c r="B29" s="163"/>
      <c r="D29" s="48" t="s">
        <v>92</v>
      </c>
      <c r="E29" s="56">
        <v>24652</v>
      </c>
      <c r="F29" s="56">
        <v>22816</v>
      </c>
      <c r="G29" s="56">
        <v>16849</v>
      </c>
      <c r="H29" s="56">
        <v>22133</v>
      </c>
      <c r="I29" s="56">
        <v>26118</v>
      </c>
      <c r="J29" s="56">
        <v>28949</v>
      </c>
      <c r="K29" s="57">
        <v>28790</v>
      </c>
    </row>
    <row r="30" spans="2:11" ht="15" thickBot="1" x14ac:dyDescent="0.3">
      <c r="B30" s="163"/>
      <c r="D30" s="48" t="s">
        <v>93</v>
      </c>
      <c r="E30" s="56">
        <v>46728</v>
      </c>
      <c r="F30" s="56">
        <v>41698</v>
      </c>
      <c r="G30" s="56">
        <v>46222</v>
      </c>
      <c r="H30" s="56">
        <v>45059</v>
      </c>
      <c r="I30" s="56">
        <v>28469</v>
      </c>
      <c r="J30" s="56">
        <v>26999</v>
      </c>
      <c r="K30" s="57">
        <v>25402</v>
      </c>
    </row>
    <row r="31" spans="2:11" ht="15" thickBot="1" x14ac:dyDescent="0.3">
      <c r="D31" s="165" t="s">
        <v>94</v>
      </c>
      <c r="E31" s="59">
        <f t="shared" ref="E31:F31" si="5">SUM(E30,E29,E25,E24,E23)</f>
        <v>1012545</v>
      </c>
      <c r="F31" s="59">
        <f t="shared" si="5"/>
        <v>1011566</v>
      </c>
      <c r="G31" s="59">
        <f>SUM(G30,G29,G25,G24,G23)</f>
        <v>969174</v>
      </c>
      <c r="H31" s="59">
        <f t="shared" ref="H31:K31" si="6">SUM(H30,H29,H25,H24,H23)</f>
        <v>990203</v>
      </c>
      <c r="I31" s="59">
        <f t="shared" si="6"/>
        <v>904915</v>
      </c>
      <c r="J31" s="59">
        <f t="shared" si="6"/>
        <v>1010267</v>
      </c>
      <c r="K31" s="60">
        <f t="shared" si="6"/>
        <v>1056985</v>
      </c>
    </row>
    <row r="32" spans="2:11" x14ac:dyDescent="0.25">
      <c r="D32" s="48" t="s">
        <v>95</v>
      </c>
      <c r="E32" s="56">
        <v>273634</v>
      </c>
      <c r="F32" s="56">
        <v>287881</v>
      </c>
      <c r="G32" s="56">
        <v>422727</v>
      </c>
      <c r="H32" s="56">
        <v>334909</v>
      </c>
      <c r="I32" s="56">
        <v>320356</v>
      </c>
      <c r="J32" s="56">
        <v>309473</v>
      </c>
      <c r="K32" s="57">
        <v>336370</v>
      </c>
    </row>
    <row r="33" spans="4:11" ht="15" thickBot="1" x14ac:dyDescent="0.3">
      <c r="D33" s="48" t="s">
        <v>96</v>
      </c>
      <c r="E33" s="56">
        <v>14570</v>
      </c>
      <c r="F33" s="56">
        <v>37179</v>
      </c>
      <c r="G33" s="56">
        <v>44632</v>
      </c>
      <c r="H33" s="56">
        <v>43366</v>
      </c>
      <c r="I33" s="56">
        <v>-29856</v>
      </c>
      <c r="J33" s="56">
        <v>-8167</v>
      </c>
      <c r="K33" s="57">
        <v>4558</v>
      </c>
    </row>
    <row r="34" spans="4:11" ht="15" thickBot="1" x14ac:dyDescent="0.3">
      <c r="D34" s="165" t="s">
        <v>99</v>
      </c>
      <c r="E34" s="59">
        <f t="shared" ref="E34:F34" si="7">SUM(E32:E33)</f>
        <v>288204</v>
      </c>
      <c r="F34" s="59">
        <f t="shared" si="7"/>
        <v>325060</v>
      </c>
      <c r="G34" s="59">
        <f>SUM(G32:G33)</f>
        <v>467359</v>
      </c>
      <c r="H34" s="59">
        <f t="shared" ref="H34:K34" si="8">SUM(H32:H33)</f>
        <v>378275</v>
      </c>
      <c r="I34" s="59">
        <f t="shared" si="8"/>
        <v>290500</v>
      </c>
      <c r="J34" s="59">
        <f t="shared" si="8"/>
        <v>301306</v>
      </c>
      <c r="K34" s="60">
        <f t="shared" si="8"/>
        <v>340928</v>
      </c>
    </row>
    <row r="35" spans="4:11" ht="15" thickBot="1" x14ac:dyDescent="0.3">
      <c r="D35" s="165" t="s">
        <v>100</v>
      </c>
      <c r="E35" s="59">
        <f t="shared" ref="E35:K35" si="9">E34+E31</f>
        <v>1300749</v>
      </c>
      <c r="F35" s="59">
        <f t="shared" si="9"/>
        <v>1336626</v>
      </c>
      <c r="G35" s="59">
        <f t="shared" si="9"/>
        <v>1436533</v>
      </c>
      <c r="H35" s="59">
        <f t="shared" si="9"/>
        <v>1368478</v>
      </c>
      <c r="I35" s="59">
        <f t="shared" si="9"/>
        <v>1195415</v>
      </c>
      <c r="J35" s="59">
        <f t="shared" si="9"/>
        <v>1311573</v>
      </c>
      <c r="K35" s="60">
        <f t="shared" si="9"/>
        <v>1397913</v>
      </c>
    </row>
    <row r="36" spans="4:11" s="10" customFormat="1" ht="9" customHeight="1" x14ac:dyDescent="0.25">
      <c r="D36" s="33"/>
      <c r="E36" s="45"/>
      <c r="F36" s="45"/>
      <c r="G36" s="45"/>
      <c r="H36" s="45"/>
      <c r="I36" s="45"/>
      <c r="J36" s="45"/>
      <c r="K36" s="45"/>
    </row>
    <row r="37" spans="4:11" s="10" customFormat="1" x14ac:dyDescent="0.25">
      <c r="D37" s="19"/>
      <c r="E37" s="81"/>
      <c r="F37" s="81"/>
      <c r="G37" s="81"/>
      <c r="J37" s="27"/>
      <c r="K37" s="27" t="s">
        <v>46</v>
      </c>
    </row>
    <row r="38" spans="4:11" x14ac:dyDescent="0.25">
      <c r="D38" s="46"/>
      <c r="E38" s="85"/>
      <c r="F38" s="85"/>
      <c r="G38" s="85"/>
      <c r="H38" s="85"/>
      <c r="I38" s="85"/>
      <c r="J38" s="85"/>
    </row>
  </sheetData>
  <conditionalFormatting sqref="E39:K39">
    <cfRule type="cellIs" dxfId="1" priority="1" operator="equal">
      <formula>"NOT OK"</formula>
    </cfRule>
    <cfRule type="cellIs" dxfId="0" priority="2" operator="equal">
      <formula>"OK"</formula>
    </cfRule>
  </conditionalFormatting>
  <hyperlinks>
    <hyperlink ref="B2" location="'Financial Supplement&gt;&gt;&gt;'!A1" display="INDEX" xr:uid="{DE63452C-5916-41EB-9D2A-C8C1BEF82D27}"/>
  </hyperlinks>
  <pageMargins left="0.7" right="0.7" top="0.75" bottom="0.75" header="0.3" footer="0.3"/>
  <pageSetup paperSize="9" scale="94" orientation="landscape" r:id="rId1"/>
  <ignoredErrors>
    <ignoredError sqref="E6:I6 E20:I21 E19:I19 E25:I25 E22:I22 E12:I12 E7:I11 E18:I18 E13:I16 E23:I24 E17:I17 J18 J20:J21 J6:J17 J22:J25 J19 K6:K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Q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customWidth="1" collapsed="1"/>
    <col min="22" max="22" width="13.28515625" style="13" customWidth="1"/>
    <col min="23" max="23" width="13.28515625" style="13" hidden="1" customWidth="1" outlineLevel="1" collapsed="1"/>
    <col min="24" max="24" width="13.28515625" style="13" hidden="1" customWidth="1" outlineLevel="1"/>
    <col min="25" max="25" width="13.28515625" style="13" customWidth="1" collapsed="1"/>
    <col min="26" max="26" width="3" style="13" customWidth="1"/>
    <col min="27" max="16384" width="11.42578125" style="13"/>
  </cols>
  <sheetData>
    <row r="1" spans="2:43" ht="16.5" customHeight="1" x14ac:dyDescent="0.25"/>
    <row r="2" spans="2:43" ht="18.75" customHeight="1" thickBot="1" x14ac:dyDescent="0.3">
      <c r="B2" s="11" t="s">
        <v>32</v>
      </c>
      <c r="D2" s="14" t="s">
        <v>51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44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2:43" x14ac:dyDescent="0.25">
      <c r="B3" s="10"/>
      <c r="D3" s="33"/>
      <c r="E3" s="34"/>
      <c r="F3" s="34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2:43" ht="15" thickBot="1" x14ac:dyDescent="0.3">
      <c r="B4" s="10"/>
      <c r="D4" s="23"/>
      <c r="E4" s="35" t="s">
        <v>6</v>
      </c>
      <c r="F4" s="35" t="s">
        <v>21</v>
      </c>
      <c r="G4" s="35" t="s">
        <v>3</v>
      </c>
      <c r="H4" s="35" t="s">
        <v>22</v>
      </c>
      <c r="I4" s="35" t="s">
        <v>23</v>
      </c>
      <c r="J4" s="35" t="s">
        <v>4</v>
      </c>
      <c r="K4" s="35" t="s">
        <v>24</v>
      </c>
      <c r="L4" s="35" t="s">
        <v>25</v>
      </c>
      <c r="M4" s="35" t="s">
        <v>26</v>
      </c>
      <c r="N4" s="35" t="s">
        <v>14</v>
      </c>
      <c r="O4" s="35" t="s">
        <v>27</v>
      </c>
      <c r="P4" s="35" t="s">
        <v>28</v>
      </c>
      <c r="Q4" s="35" t="s">
        <v>29</v>
      </c>
      <c r="R4" s="35" t="s">
        <v>16</v>
      </c>
      <c r="S4" s="35" t="s">
        <v>17</v>
      </c>
      <c r="T4" s="35" t="s">
        <v>18</v>
      </c>
      <c r="U4" s="35" t="s">
        <v>19</v>
      </c>
      <c r="V4" s="35" t="s">
        <v>20</v>
      </c>
      <c r="W4" s="35" t="s">
        <v>190</v>
      </c>
      <c r="X4" s="35" t="s">
        <v>215</v>
      </c>
      <c r="Y4" s="36" t="s">
        <v>219</v>
      </c>
      <c r="AA4" s="35" t="s">
        <v>110</v>
      </c>
      <c r="AB4" s="35" t="s">
        <v>111</v>
      </c>
      <c r="AC4" s="35" t="s">
        <v>112</v>
      </c>
      <c r="AD4" s="35" t="s">
        <v>113</v>
      </c>
      <c r="AE4" s="35" t="s">
        <v>114</v>
      </c>
      <c r="AF4" s="35" t="s">
        <v>115</v>
      </c>
      <c r="AG4" s="35" t="s">
        <v>116</v>
      </c>
      <c r="AH4" s="35" t="s">
        <v>117</v>
      </c>
      <c r="AI4" s="35" t="s">
        <v>118</v>
      </c>
      <c r="AJ4" s="35" t="s">
        <v>119</v>
      </c>
      <c r="AK4" s="35" t="s">
        <v>62</v>
      </c>
      <c r="AL4" s="35" t="s">
        <v>63</v>
      </c>
      <c r="AM4" s="35" t="s">
        <v>64</v>
      </c>
      <c r="AN4" s="35" t="s">
        <v>65</v>
      </c>
      <c r="AO4" s="35" t="s">
        <v>191</v>
      </c>
      <c r="AP4" s="35" t="s">
        <v>216</v>
      </c>
      <c r="AQ4" s="36" t="s">
        <v>220</v>
      </c>
    </row>
    <row r="5" spans="2:43" x14ac:dyDescent="0.25">
      <c r="B5" s="10"/>
      <c r="D5" s="33" t="s">
        <v>54</v>
      </c>
      <c r="E5" s="37">
        <v>853119</v>
      </c>
      <c r="F5" s="37">
        <v>671237.88711999997</v>
      </c>
      <c r="G5" s="37">
        <v>891295</v>
      </c>
      <c r="H5" s="37">
        <v>451910</v>
      </c>
      <c r="I5" s="37">
        <v>675056.76400999993</v>
      </c>
      <c r="J5" s="37">
        <v>898614</v>
      </c>
      <c r="K5" s="37">
        <v>224068</v>
      </c>
      <c r="L5" s="37">
        <v>456465</v>
      </c>
      <c r="M5" s="37">
        <v>682637.5491399999</v>
      </c>
      <c r="N5" s="37">
        <v>907189</v>
      </c>
      <c r="O5" s="37">
        <v>232005</v>
      </c>
      <c r="P5" s="37">
        <v>474789</v>
      </c>
      <c r="Q5" s="37">
        <v>710701</v>
      </c>
      <c r="R5" s="37">
        <v>946679</v>
      </c>
      <c r="S5" s="37">
        <v>244211</v>
      </c>
      <c r="T5" s="37">
        <v>491948</v>
      </c>
      <c r="U5" s="37">
        <v>731947</v>
      </c>
      <c r="V5" s="37">
        <v>973281</v>
      </c>
      <c r="W5" s="37">
        <v>251419.17102000001</v>
      </c>
      <c r="X5" s="37">
        <v>503899.57588000002</v>
      </c>
      <c r="Y5" s="38">
        <v>757629.10199999996</v>
      </c>
      <c r="AA5" s="37">
        <f t="shared" ref="AA5:AA18" si="0">I5-H5</f>
        <v>223146.76400999993</v>
      </c>
      <c r="AB5" s="37">
        <f t="shared" ref="AB5:AB18" si="1">J5-I5</f>
        <v>223557.23599000007</v>
      </c>
      <c r="AC5" s="37">
        <f>K5</f>
        <v>224068</v>
      </c>
      <c r="AD5" s="37">
        <f t="shared" ref="AD5:AD18" si="2">L5-K5</f>
        <v>232397</v>
      </c>
      <c r="AE5" s="37">
        <f t="shared" ref="AE5:AE18" si="3">M5-L5</f>
        <v>226172.5491399999</v>
      </c>
      <c r="AF5" s="37">
        <f t="shared" ref="AF5:AF17" si="4">N5-M5</f>
        <v>224551.4508600001</v>
      </c>
      <c r="AG5" s="37">
        <f t="shared" ref="AG5:AG17" si="5">O5</f>
        <v>232005</v>
      </c>
      <c r="AH5" s="37">
        <f t="shared" ref="AH5:AH18" si="6">P5-O5</f>
        <v>242784</v>
      </c>
      <c r="AI5" s="37">
        <f t="shared" ref="AI5:AI18" si="7">Q5-P5</f>
        <v>235912</v>
      </c>
      <c r="AJ5" s="37">
        <f t="shared" ref="AJ5:AJ18" si="8">R5-Q5</f>
        <v>235978</v>
      </c>
      <c r="AK5" s="37">
        <f>S5</f>
        <v>244211</v>
      </c>
      <c r="AL5" s="37">
        <f t="shared" ref="AL5:AL18" si="9">T5-S5</f>
        <v>247737</v>
      </c>
      <c r="AM5" s="37">
        <f t="shared" ref="AM5:AM18" si="10">U5-T5</f>
        <v>239999</v>
      </c>
      <c r="AN5" s="37">
        <f t="shared" ref="AN5:AN18" si="11">V5-U5</f>
        <v>241334</v>
      </c>
      <c r="AO5" s="37">
        <f>W5</f>
        <v>251419.17102000001</v>
      </c>
      <c r="AP5" s="37">
        <f>X5-W5</f>
        <v>252480.40486000001</v>
      </c>
      <c r="AQ5" s="38">
        <f>Y5-X5</f>
        <v>253729.52611999994</v>
      </c>
    </row>
    <row r="6" spans="2:43" x14ac:dyDescent="0.25">
      <c r="B6" s="10"/>
      <c r="D6" s="33" t="s">
        <v>101</v>
      </c>
      <c r="E6" s="37">
        <v>816289</v>
      </c>
      <c r="F6" s="37">
        <v>641351.88182999962</v>
      </c>
      <c r="G6" s="37">
        <v>854762</v>
      </c>
      <c r="H6" s="37">
        <v>434400</v>
      </c>
      <c r="I6" s="37">
        <v>654226.95956999995</v>
      </c>
      <c r="J6" s="37">
        <v>878177</v>
      </c>
      <c r="K6" s="37">
        <v>216386</v>
      </c>
      <c r="L6" s="37">
        <v>435993</v>
      </c>
      <c r="M6" s="37">
        <v>658532.16795000026</v>
      </c>
      <c r="N6" s="37">
        <v>882728</v>
      </c>
      <c r="O6" s="37">
        <v>218616</v>
      </c>
      <c r="P6" s="37">
        <v>441739</v>
      </c>
      <c r="Q6" s="37">
        <v>669797</v>
      </c>
      <c r="R6" s="37">
        <v>900647</v>
      </c>
      <c r="S6" s="37">
        <v>228677</v>
      </c>
      <c r="T6" s="37">
        <v>462016</v>
      </c>
      <c r="U6" s="37">
        <v>698840</v>
      </c>
      <c r="V6" s="37">
        <v>936617</v>
      </c>
      <c r="W6" s="37">
        <v>236347.83805999998</v>
      </c>
      <c r="X6" s="37">
        <v>474606.44693000015</v>
      </c>
      <c r="Y6" s="38">
        <v>718880.30748000019</v>
      </c>
      <c r="AA6" s="37">
        <f t="shared" si="0"/>
        <v>219826.95956999995</v>
      </c>
      <c r="AB6" s="37">
        <f t="shared" si="1"/>
        <v>223950.04043000005</v>
      </c>
      <c r="AC6" s="37">
        <f t="shared" ref="AC6:AC18" si="12">K6</f>
        <v>216386</v>
      </c>
      <c r="AD6" s="37">
        <f t="shared" si="2"/>
        <v>219607</v>
      </c>
      <c r="AE6" s="37">
        <f t="shared" si="3"/>
        <v>222539.16795000026</v>
      </c>
      <c r="AF6" s="37">
        <f t="shared" si="4"/>
        <v>224195.83204999974</v>
      </c>
      <c r="AG6" s="37">
        <f t="shared" si="5"/>
        <v>218616</v>
      </c>
      <c r="AH6" s="37">
        <f t="shared" si="6"/>
        <v>223123</v>
      </c>
      <c r="AI6" s="37">
        <f t="shared" si="7"/>
        <v>228058</v>
      </c>
      <c r="AJ6" s="37">
        <f t="shared" si="8"/>
        <v>230850</v>
      </c>
      <c r="AK6" s="37">
        <f t="shared" ref="AK6:AK18" si="13">S6</f>
        <v>228677</v>
      </c>
      <c r="AL6" s="37">
        <f t="shared" si="9"/>
        <v>233339</v>
      </c>
      <c r="AM6" s="37">
        <f t="shared" si="10"/>
        <v>236824</v>
      </c>
      <c r="AN6" s="37">
        <f t="shared" si="11"/>
        <v>237777</v>
      </c>
      <c r="AO6" s="37">
        <f t="shared" ref="AO6:AO18" si="14">W6</f>
        <v>236347.83805999998</v>
      </c>
      <c r="AP6" s="37">
        <f t="shared" ref="AP6:AQ18" si="15">X6-W6</f>
        <v>238258.60887000017</v>
      </c>
      <c r="AQ6" s="38">
        <f t="shared" si="15"/>
        <v>244273.86055000004</v>
      </c>
    </row>
    <row r="7" spans="2:43" x14ac:dyDescent="0.25">
      <c r="B7" s="10"/>
      <c r="D7" s="39" t="s">
        <v>58</v>
      </c>
      <c r="E7" s="40">
        <v>-528029</v>
      </c>
      <c r="F7" s="40">
        <v>-434879.50449328037</v>
      </c>
      <c r="G7" s="40">
        <v>-580987</v>
      </c>
      <c r="H7" s="40">
        <v>-279624</v>
      </c>
      <c r="I7" s="40">
        <v>-404121.66815101047</v>
      </c>
      <c r="J7" s="40">
        <v>-540064</v>
      </c>
      <c r="K7" s="40">
        <v>-142364</v>
      </c>
      <c r="L7" s="40">
        <v>-284885</v>
      </c>
      <c r="M7" s="40">
        <v>-434205.32618606143</v>
      </c>
      <c r="N7" s="40">
        <v>-597820</v>
      </c>
      <c r="O7" s="40">
        <v>-151164</v>
      </c>
      <c r="P7" s="40">
        <v>-310218</v>
      </c>
      <c r="Q7" s="40">
        <v>-487814</v>
      </c>
      <c r="R7" s="40">
        <v>-681500</v>
      </c>
      <c r="S7" s="40">
        <v>-197357</v>
      </c>
      <c r="T7" s="40">
        <v>-410601</v>
      </c>
      <c r="U7" s="40">
        <v>-610177</v>
      </c>
      <c r="V7" s="40">
        <v>-800941</v>
      </c>
      <c r="W7" s="40">
        <v>-186438.76728735544</v>
      </c>
      <c r="X7" s="40">
        <v>-366323.690499597</v>
      </c>
      <c r="Y7" s="41">
        <v>-554372.69594059943</v>
      </c>
      <c r="AA7" s="40">
        <f t="shared" si="0"/>
        <v>-124497.66815101047</v>
      </c>
      <c r="AB7" s="40">
        <f t="shared" si="1"/>
        <v>-135942.33184898953</v>
      </c>
      <c r="AC7" s="40">
        <f t="shared" si="12"/>
        <v>-142364</v>
      </c>
      <c r="AD7" s="40">
        <f t="shared" si="2"/>
        <v>-142521</v>
      </c>
      <c r="AE7" s="40">
        <f t="shared" si="3"/>
        <v>-149320.32618606143</v>
      </c>
      <c r="AF7" s="40">
        <f t="shared" si="4"/>
        <v>-163614.67381393857</v>
      </c>
      <c r="AG7" s="40">
        <f t="shared" si="5"/>
        <v>-151164</v>
      </c>
      <c r="AH7" s="40">
        <f t="shared" si="6"/>
        <v>-159054</v>
      </c>
      <c r="AI7" s="40">
        <f t="shared" si="7"/>
        <v>-177596</v>
      </c>
      <c r="AJ7" s="40">
        <f t="shared" si="8"/>
        <v>-193686</v>
      </c>
      <c r="AK7" s="40">
        <f t="shared" si="13"/>
        <v>-197357</v>
      </c>
      <c r="AL7" s="40">
        <f t="shared" si="9"/>
        <v>-213244</v>
      </c>
      <c r="AM7" s="40">
        <f t="shared" si="10"/>
        <v>-199576</v>
      </c>
      <c r="AN7" s="40">
        <f t="shared" si="11"/>
        <v>-190764</v>
      </c>
      <c r="AO7" s="40">
        <f t="shared" si="14"/>
        <v>-186438.76728735544</v>
      </c>
      <c r="AP7" s="40">
        <f t="shared" si="15"/>
        <v>-179884.92321224156</v>
      </c>
      <c r="AQ7" s="41">
        <f t="shared" si="15"/>
        <v>-188049.00544100243</v>
      </c>
    </row>
    <row r="8" spans="2:43" x14ac:dyDescent="0.25">
      <c r="B8" s="10"/>
      <c r="D8" s="39" t="s">
        <v>59</v>
      </c>
      <c r="E8" s="40">
        <v>-196176</v>
      </c>
      <c r="F8" s="40">
        <v>-149071.66064898294</v>
      </c>
      <c r="G8" s="40">
        <v>-199919</v>
      </c>
      <c r="H8" s="40">
        <v>-101365</v>
      </c>
      <c r="I8" s="40">
        <v>-154592.63530112992</v>
      </c>
      <c r="J8" s="40">
        <v>-209603</v>
      </c>
      <c r="K8" s="40">
        <v>-46564</v>
      </c>
      <c r="L8" s="40">
        <v>-97485</v>
      </c>
      <c r="M8" s="40">
        <v>-149806.46006821495</v>
      </c>
      <c r="N8" s="40">
        <v>-203458</v>
      </c>
      <c r="O8" s="40">
        <v>-45654</v>
      </c>
      <c r="P8" s="40">
        <v>-94279</v>
      </c>
      <c r="Q8" s="40">
        <v>-146456</v>
      </c>
      <c r="R8" s="40">
        <v>-202182</v>
      </c>
      <c r="S8" s="40">
        <v>-50440</v>
      </c>
      <c r="T8" s="40">
        <v>-99816</v>
      </c>
      <c r="U8" s="40">
        <v>-152116</v>
      </c>
      <c r="V8" s="40">
        <v>-208409</v>
      </c>
      <c r="W8" s="40">
        <v>-51554.057656968936</v>
      </c>
      <c r="X8" s="40">
        <v>-102608.84096673779</v>
      </c>
      <c r="Y8" s="41">
        <v>-155246.11809313408</v>
      </c>
      <c r="AA8" s="40">
        <f t="shared" si="0"/>
        <v>-53227.635301129922</v>
      </c>
      <c r="AB8" s="40">
        <f t="shared" si="1"/>
        <v>-55010.364698870078</v>
      </c>
      <c r="AC8" s="40">
        <f t="shared" si="12"/>
        <v>-46564</v>
      </c>
      <c r="AD8" s="40">
        <f t="shared" si="2"/>
        <v>-50921</v>
      </c>
      <c r="AE8" s="40">
        <f t="shared" si="3"/>
        <v>-52321.460068214947</v>
      </c>
      <c r="AF8" s="40">
        <f t="shared" si="4"/>
        <v>-53651.539931785053</v>
      </c>
      <c r="AG8" s="40">
        <f t="shared" si="5"/>
        <v>-45654</v>
      </c>
      <c r="AH8" s="40">
        <f t="shared" si="6"/>
        <v>-48625</v>
      </c>
      <c r="AI8" s="40">
        <f t="shared" si="7"/>
        <v>-52177</v>
      </c>
      <c r="AJ8" s="40">
        <f t="shared" si="8"/>
        <v>-55726</v>
      </c>
      <c r="AK8" s="40">
        <f t="shared" si="13"/>
        <v>-50440</v>
      </c>
      <c r="AL8" s="40">
        <f t="shared" si="9"/>
        <v>-49376</v>
      </c>
      <c r="AM8" s="40">
        <f t="shared" si="10"/>
        <v>-52300</v>
      </c>
      <c r="AN8" s="40">
        <f t="shared" si="11"/>
        <v>-56293</v>
      </c>
      <c r="AO8" s="40">
        <f t="shared" si="14"/>
        <v>-51554.057656968936</v>
      </c>
      <c r="AP8" s="40">
        <f t="shared" si="15"/>
        <v>-51054.783309768849</v>
      </c>
      <c r="AQ8" s="41">
        <f t="shared" si="15"/>
        <v>-52637.277126396293</v>
      </c>
    </row>
    <row r="9" spans="2:43" x14ac:dyDescent="0.25">
      <c r="B9" s="10"/>
      <c r="D9" s="39" t="s">
        <v>102</v>
      </c>
      <c r="E9" s="40">
        <v>25728</v>
      </c>
      <c r="F9" s="40">
        <v>23267.081610000001</v>
      </c>
      <c r="G9" s="40">
        <v>29794</v>
      </c>
      <c r="H9" s="40">
        <v>8623</v>
      </c>
      <c r="I9" s="40">
        <v>14051.203730000003</v>
      </c>
      <c r="J9" s="40">
        <v>17429</v>
      </c>
      <c r="K9" s="40">
        <v>4086</v>
      </c>
      <c r="L9" s="40">
        <v>9516</v>
      </c>
      <c r="M9" s="40">
        <v>15089.09052</v>
      </c>
      <c r="N9" s="40">
        <v>22185</v>
      </c>
      <c r="O9" s="40">
        <v>2310</v>
      </c>
      <c r="P9" s="40">
        <v>6809</v>
      </c>
      <c r="Q9" s="40">
        <v>11920</v>
      </c>
      <c r="R9" s="40">
        <v>16385</v>
      </c>
      <c r="S9" s="40">
        <v>2314</v>
      </c>
      <c r="T9" s="40">
        <v>9021</v>
      </c>
      <c r="U9" s="40">
        <v>15646</v>
      </c>
      <c r="V9" s="40">
        <v>21701</v>
      </c>
      <c r="W9" s="40">
        <v>5181.372769999999</v>
      </c>
      <c r="X9" s="40">
        <v>10837.979570000001</v>
      </c>
      <c r="Y9" s="41">
        <v>16710.303029999992</v>
      </c>
      <c r="AA9" s="40">
        <f t="shared" si="0"/>
        <v>5428.2037300000029</v>
      </c>
      <c r="AB9" s="40">
        <f t="shared" si="1"/>
        <v>3377.7962699999971</v>
      </c>
      <c r="AC9" s="40">
        <f t="shared" si="12"/>
        <v>4086</v>
      </c>
      <c r="AD9" s="40">
        <f t="shared" si="2"/>
        <v>5430</v>
      </c>
      <c r="AE9" s="40">
        <f t="shared" si="3"/>
        <v>5573.0905199999997</v>
      </c>
      <c r="AF9" s="40">
        <f t="shared" si="4"/>
        <v>7095.9094800000003</v>
      </c>
      <c r="AG9" s="40">
        <f t="shared" si="5"/>
        <v>2310</v>
      </c>
      <c r="AH9" s="40">
        <f t="shared" si="6"/>
        <v>4499</v>
      </c>
      <c r="AI9" s="40">
        <f t="shared" si="7"/>
        <v>5111</v>
      </c>
      <c r="AJ9" s="40">
        <f t="shared" si="8"/>
        <v>4465</v>
      </c>
      <c r="AK9" s="40">
        <f t="shared" si="13"/>
        <v>2314</v>
      </c>
      <c r="AL9" s="40">
        <f t="shared" si="9"/>
        <v>6707</v>
      </c>
      <c r="AM9" s="40">
        <f t="shared" si="10"/>
        <v>6625</v>
      </c>
      <c r="AN9" s="40">
        <f t="shared" si="11"/>
        <v>6055</v>
      </c>
      <c r="AO9" s="40">
        <f t="shared" si="14"/>
        <v>5181.372769999999</v>
      </c>
      <c r="AP9" s="40">
        <f t="shared" si="15"/>
        <v>5656.6068000000023</v>
      </c>
      <c r="AQ9" s="41">
        <f t="shared" si="15"/>
        <v>5872.3234599999905</v>
      </c>
    </row>
    <row r="10" spans="2:43" x14ac:dyDescent="0.25">
      <c r="B10" s="10"/>
      <c r="D10" s="33" t="s">
        <v>56</v>
      </c>
      <c r="E10" s="37">
        <f t="shared" ref="E10:I10" si="16">SUM(E6:E9)</f>
        <v>117812</v>
      </c>
      <c r="F10" s="37">
        <f>SUM(F6:F9)</f>
        <v>80667.798297736299</v>
      </c>
      <c r="G10" s="37">
        <f t="shared" si="16"/>
        <v>103650</v>
      </c>
      <c r="H10" s="37">
        <f t="shared" si="16"/>
        <v>62034</v>
      </c>
      <c r="I10" s="37">
        <f t="shared" si="16"/>
        <v>109563.85984785957</v>
      </c>
      <c r="J10" s="37">
        <f t="shared" ref="J10:Q10" si="17">SUM(J6:J9)</f>
        <v>145939</v>
      </c>
      <c r="K10" s="37">
        <f t="shared" si="17"/>
        <v>31544</v>
      </c>
      <c r="L10" s="37">
        <f t="shared" si="17"/>
        <v>63139</v>
      </c>
      <c r="M10" s="37">
        <f t="shared" si="17"/>
        <v>89609.472215723887</v>
      </c>
      <c r="N10" s="37">
        <f t="shared" si="17"/>
        <v>103635</v>
      </c>
      <c r="O10" s="37">
        <f t="shared" si="17"/>
        <v>24108</v>
      </c>
      <c r="P10" s="37">
        <v>44051</v>
      </c>
      <c r="Q10" s="37">
        <f t="shared" si="17"/>
        <v>47447</v>
      </c>
      <c r="R10" s="37">
        <f>SUM(R6:R9)</f>
        <v>33350</v>
      </c>
      <c r="S10" s="37">
        <f>SUM(S6:S9)</f>
        <v>-16806</v>
      </c>
      <c r="T10" s="37">
        <f>SUM(T6:T9)</f>
        <v>-39380</v>
      </c>
      <c r="U10" s="37">
        <f>SUM(U6:U9)</f>
        <v>-47807</v>
      </c>
      <c r="V10" s="37">
        <f t="shared" ref="V10:Y10" si="18">SUM(V6:V9)</f>
        <v>-51032</v>
      </c>
      <c r="W10" s="37">
        <f t="shared" si="18"/>
        <v>3536.3858856756024</v>
      </c>
      <c r="X10" s="37">
        <f t="shared" si="18"/>
        <v>16511.895033665372</v>
      </c>
      <c r="Y10" s="38">
        <f t="shared" si="18"/>
        <v>25971.796476266678</v>
      </c>
      <c r="AA10" s="37">
        <f t="shared" si="0"/>
        <v>47529.859847859567</v>
      </c>
      <c r="AB10" s="37">
        <f t="shared" si="1"/>
        <v>36375.140152140433</v>
      </c>
      <c r="AC10" s="37">
        <f t="shared" si="12"/>
        <v>31544</v>
      </c>
      <c r="AD10" s="37">
        <f t="shared" si="2"/>
        <v>31595</v>
      </c>
      <c r="AE10" s="37">
        <f t="shared" si="3"/>
        <v>26470.472215723887</v>
      </c>
      <c r="AF10" s="37">
        <f t="shared" si="4"/>
        <v>14025.527784276113</v>
      </c>
      <c r="AG10" s="37">
        <f t="shared" si="5"/>
        <v>24108</v>
      </c>
      <c r="AH10" s="37">
        <f t="shared" si="6"/>
        <v>19943</v>
      </c>
      <c r="AI10" s="37">
        <f t="shared" si="7"/>
        <v>3396</v>
      </c>
      <c r="AJ10" s="37">
        <f t="shared" si="8"/>
        <v>-14097</v>
      </c>
      <c r="AK10" s="37">
        <f t="shared" si="13"/>
        <v>-16806</v>
      </c>
      <c r="AL10" s="37">
        <f t="shared" si="9"/>
        <v>-22574</v>
      </c>
      <c r="AM10" s="37">
        <f t="shared" si="10"/>
        <v>-8427</v>
      </c>
      <c r="AN10" s="37">
        <f t="shared" si="11"/>
        <v>-3225</v>
      </c>
      <c r="AO10" s="37">
        <f t="shared" si="14"/>
        <v>3536.3858856756024</v>
      </c>
      <c r="AP10" s="37">
        <f t="shared" si="15"/>
        <v>12975.509147989771</v>
      </c>
      <c r="AQ10" s="38">
        <f t="shared" si="15"/>
        <v>9459.9014426013055</v>
      </c>
    </row>
    <row r="11" spans="2:43" x14ac:dyDescent="0.25">
      <c r="B11" s="10"/>
      <c r="D11" s="39" t="s">
        <v>103</v>
      </c>
      <c r="E11" s="40">
        <v>52021</v>
      </c>
      <c r="F11" s="40">
        <v>54355.569459999992</v>
      </c>
      <c r="G11" s="40">
        <v>70687</v>
      </c>
      <c r="H11" s="40">
        <v>34974</v>
      </c>
      <c r="I11" s="40">
        <v>50657.768469999995</v>
      </c>
      <c r="J11" s="40">
        <v>76613</v>
      </c>
      <c r="K11" s="40">
        <v>13376</v>
      </c>
      <c r="L11" s="40">
        <v>22769</v>
      </c>
      <c r="M11" s="40">
        <v>39281.246479999987</v>
      </c>
      <c r="N11" s="40">
        <v>57904</v>
      </c>
      <c r="O11" s="40">
        <v>16337</v>
      </c>
      <c r="P11" s="40">
        <v>36794</v>
      </c>
      <c r="Q11" s="40">
        <v>51685</v>
      </c>
      <c r="R11" s="40">
        <v>72406</v>
      </c>
      <c r="S11" s="40">
        <v>15432</v>
      </c>
      <c r="T11" s="40">
        <v>27400</v>
      </c>
      <c r="U11" s="40">
        <v>38806</v>
      </c>
      <c r="V11" s="40">
        <v>54165</v>
      </c>
      <c r="W11" s="40">
        <v>12179.4727</v>
      </c>
      <c r="X11" s="40">
        <v>26509.348579999998</v>
      </c>
      <c r="Y11" s="41">
        <v>39581.386019999998</v>
      </c>
      <c r="AA11" s="40">
        <f t="shared" si="0"/>
        <v>15683.768469999995</v>
      </c>
      <c r="AB11" s="40">
        <f t="shared" si="1"/>
        <v>25955.231530000005</v>
      </c>
      <c r="AC11" s="40">
        <f t="shared" si="12"/>
        <v>13376</v>
      </c>
      <c r="AD11" s="40">
        <f t="shared" si="2"/>
        <v>9393</v>
      </c>
      <c r="AE11" s="40">
        <f t="shared" si="3"/>
        <v>16512.246479999987</v>
      </c>
      <c r="AF11" s="40">
        <f t="shared" si="4"/>
        <v>18622.753520000013</v>
      </c>
      <c r="AG11" s="40">
        <f t="shared" si="5"/>
        <v>16337</v>
      </c>
      <c r="AH11" s="40">
        <f t="shared" si="6"/>
        <v>20457</v>
      </c>
      <c r="AI11" s="40">
        <f t="shared" si="7"/>
        <v>14891</v>
      </c>
      <c r="AJ11" s="40">
        <f t="shared" si="8"/>
        <v>20721</v>
      </c>
      <c r="AK11" s="40">
        <f t="shared" si="13"/>
        <v>15432</v>
      </c>
      <c r="AL11" s="40">
        <f t="shared" si="9"/>
        <v>11968</v>
      </c>
      <c r="AM11" s="40">
        <f t="shared" si="10"/>
        <v>11406</v>
      </c>
      <c r="AN11" s="40">
        <f t="shared" si="11"/>
        <v>15359</v>
      </c>
      <c r="AO11" s="40">
        <f t="shared" si="14"/>
        <v>12179.4727</v>
      </c>
      <c r="AP11" s="40">
        <f t="shared" si="15"/>
        <v>14329.875879999998</v>
      </c>
      <c r="AQ11" s="41">
        <f t="shared" si="15"/>
        <v>13072.03744</v>
      </c>
    </row>
    <row r="12" spans="2:43" x14ac:dyDescent="0.25">
      <c r="B12" s="10"/>
      <c r="D12" s="39" t="s">
        <v>104</v>
      </c>
      <c r="E12" s="40">
        <v>-18547</v>
      </c>
      <c r="F12" s="40">
        <v>-32709.224891641526</v>
      </c>
      <c r="G12" s="40">
        <v>-39117</v>
      </c>
      <c r="H12" s="40">
        <v>-21932</v>
      </c>
      <c r="I12" s="40">
        <v>-32428.553819042852</v>
      </c>
      <c r="J12" s="40">
        <v>-47360</v>
      </c>
      <c r="K12" s="40">
        <v>-6437</v>
      </c>
      <c r="L12" s="40">
        <v>-9974</v>
      </c>
      <c r="M12" s="40">
        <v>-17173.93199369132</v>
      </c>
      <c r="N12" s="40">
        <v>-23243</v>
      </c>
      <c r="O12" s="40">
        <v>-9589</v>
      </c>
      <c r="P12" s="40">
        <v>-18414</v>
      </c>
      <c r="Q12" s="40">
        <v>-25662</v>
      </c>
      <c r="R12" s="40">
        <v>-32633</v>
      </c>
      <c r="S12" s="40">
        <v>-6755</v>
      </c>
      <c r="T12" s="40">
        <v>-10479</v>
      </c>
      <c r="U12" s="40">
        <v>-13734</v>
      </c>
      <c r="V12" s="40">
        <v>-20281</v>
      </c>
      <c r="W12" s="40">
        <v>-3737.6835285988786</v>
      </c>
      <c r="X12" s="40">
        <v>-8301.6824463250268</v>
      </c>
      <c r="Y12" s="41">
        <v>-12023.041134393387</v>
      </c>
      <c r="AA12" s="40">
        <f t="shared" si="0"/>
        <v>-10496.553819042852</v>
      </c>
      <c r="AB12" s="40">
        <f t="shared" si="1"/>
        <v>-14931.446180957148</v>
      </c>
      <c r="AC12" s="40">
        <f t="shared" si="12"/>
        <v>-6437</v>
      </c>
      <c r="AD12" s="40">
        <f t="shared" si="2"/>
        <v>-3537</v>
      </c>
      <c r="AE12" s="40">
        <f t="shared" si="3"/>
        <v>-7199.9319936913198</v>
      </c>
      <c r="AF12" s="40">
        <f t="shared" si="4"/>
        <v>-6069.0680063086802</v>
      </c>
      <c r="AG12" s="40">
        <f t="shared" si="5"/>
        <v>-9589</v>
      </c>
      <c r="AH12" s="40">
        <f t="shared" si="6"/>
        <v>-8825</v>
      </c>
      <c r="AI12" s="40">
        <f t="shared" si="7"/>
        <v>-7248</v>
      </c>
      <c r="AJ12" s="40">
        <f t="shared" si="8"/>
        <v>-6971</v>
      </c>
      <c r="AK12" s="40">
        <f t="shared" si="13"/>
        <v>-6755</v>
      </c>
      <c r="AL12" s="40">
        <f t="shared" si="9"/>
        <v>-3724</v>
      </c>
      <c r="AM12" s="40">
        <f t="shared" si="10"/>
        <v>-3255</v>
      </c>
      <c r="AN12" s="40">
        <f t="shared" si="11"/>
        <v>-6547</v>
      </c>
      <c r="AO12" s="40">
        <f t="shared" si="14"/>
        <v>-3737.6835285988786</v>
      </c>
      <c r="AP12" s="40">
        <f t="shared" si="15"/>
        <v>-4563.9989177261486</v>
      </c>
      <c r="AQ12" s="41">
        <f t="shared" si="15"/>
        <v>-3721.3586880683597</v>
      </c>
    </row>
    <row r="13" spans="2:43" x14ac:dyDescent="0.25">
      <c r="B13" s="10"/>
      <c r="D13" s="33" t="s">
        <v>105</v>
      </c>
      <c r="E13" s="37">
        <f>SUM(E11:E12)</f>
        <v>33474</v>
      </c>
      <c r="F13" s="37">
        <f>SUM(F11:F12)</f>
        <v>21646.344568358465</v>
      </c>
      <c r="G13" s="37">
        <f t="shared" ref="G13:Q13" si="19">SUM(G11:G12)</f>
        <v>31570</v>
      </c>
      <c r="H13" s="37">
        <f t="shared" si="19"/>
        <v>13042</v>
      </c>
      <c r="I13" s="37">
        <f t="shared" si="19"/>
        <v>18229.214650957143</v>
      </c>
      <c r="J13" s="37">
        <f t="shared" si="19"/>
        <v>29253</v>
      </c>
      <c r="K13" s="37">
        <f t="shared" si="19"/>
        <v>6939</v>
      </c>
      <c r="L13" s="37">
        <f t="shared" si="19"/>
        <v>12795</v>
      </c>
      <c r="M13" s="37">
        <f t="shared" si="19"/>
        <v>22107.314486308667</v>
      </c>
      <c r="N13" s="37">
        <f t="shared" si="19"/>
        <v>34661</v>
      </c>
      <c r="O13" s="37">
        <f t="shared" si="19"/>
        <v>6748</v>
      </c>
      <c r="P13" s="37">
        <v>18380</v>
      </c>
      <c r="Q13" s="37">
        <f t="shared" si="19"/>
        <v>26023</v>
      </c>
      <c r="R13" s="37">
        <f>SUM(R11:R12)</f>
        <v>39773</v>
      </c>
      <c r="S13" s="37">
        <f>SUM(S11:S12)</f>
        <v>8677</v>
      </c>
      <c r="T13" s="37">
        <f>SUM(T11:T12)</f>
        <v>16921</v>
      </c>
      <c r="U13" s="37">
        <f>SUM(U11:U12)</f>
        <v>25072</v>
      </c>
      <c r="V13" s="37">
        <f t="shared" ref="V13:Y13" si="20">SUM(V11:V12)</f>
        <v>33884</v>
      </c>
      <c r="W13" s="37">
        <f t="shared" si="20"/>
        <v>8441.7891714011221</v>
      </c>
      <c r="X13" s="37">
        <f t="shared" si="20"/>
        <v>18207.666133674971</v>
      </c>
      <c r="Y13" s="38">
        <f t="shared" si="20"/>
        <v>27558.34488560661</v>
      </c>
      <c r="AA13" s="37">
        <f t="shared" si="0"/>
        <v>5187.214650957143</v>
      </c>
      <c r="AB13" s="37">
        <f t="shared" si="1"/>
        <v>11023.785349042857</v>
      </c>
      <c r="AC13" s="37">
        <f t="shared" si="12"/>
        <v>6939</v>
      </c>
      <c r="AD13" s="37">
        <f t="shared" si="2"/>
        <v>5856</v>
      </c>
      <c r="AE13" s="37">
        <f t="shared" si="3"/>
        <v>9312.3144863086673</v>
      </c>
      <c r="AF13" s="37">
        <f t="shared" si="4"/>
        <v>12553.685513691333</v>
      </c>
      <c r="AG13" s="37">
        <f t="shared" si="5"/>
        <v>6748</v>
      </c>
      <c r="AH13" s="37">
        <f t="shared" si="6"/>
        <v>11632</v>
      </c>
      <c r="AI13" s="37">
        <f t="shared" si="7"/>
        <v>7643</v>
      </c>
      <c r="AJ13" s="37">
        <f t="shared" si="8"/>
        <v>13750</v>
      </c>
      <c r="AK13" s="37">
        <f t="shared" si="13"/>
        <v>8677</v>
      </c>
      <c r="AL13" s="37">
        <f t="shared" si="9"/>
        <v>8244</v>
      </c>
      <c r="AM13" s="37">
        <f t="shared" si="10"/>
        <v>8151</v>
      </c>
      <c r="AN13" s="37">
        <f t="shared" si="11"/>
        <v>8812</v>
      </c>
      <c r="AO13" s="37">
        <f t="shared" si="14"/>
        <v>8441.7891714011221</v>
      </c>
      <c r="AP13" s="37">
        <f t="shared" si="15"/>
        <v>9765.8769622738491</v>
      </c>
      <c r="AQ13" s="38">
        <f t="shared" si="15"/>
        <v>9350.6787519316385</v>
      </c>
    </row>
    <row r="14" spans="2:43" x14ac:dyDescent="0.25">
      <c r="B14" s="10"/>
      <c r="D14" s="33" t="s">
        <v>106</v>
      </c>
      <c r="E14" s="37">
        <f>SUM(E13,E10)</f>
        <v>151286</v>
      </c>
      <c r="F14" s="37">
        <f>SUM(F13,F10)</f>
        <v>102314.14286609477</v>
      </c>
      <c r="G14" s="37">
        <f t="shared" ref="G14:Q14" si="21">SUM(G13,G10)</f>
        <v>135220</v>
      </c>
      <c r="H14" s="37">
        <f t="shared" si="21"/>
        <v>75076</v>
      </c>
      <c r="I14" s="37">
        <f t="shared" si="21"/>
        <v>127793.07449881671</v>
      </c>
      <c r="J14" s="37">
        <f t="shared" si="21"/>
        <v>175192</v>
      </c>
      <c r="K14" s="37">
        <f t="shared" si="21"/>
        <v>38483</v>
      </c>
      <c r="L14" s="37">
        <f t="shared" si="21"/>
        <v>75934</v>
      </c>
      <c r="M14" s="37">
        <f t="shared" si="21"/>
        <v>111716.78670203255</v>
      </c>
      <c r="N14" s="37">
        <f t="shared" si="21"/>
        <v>138296</v>
      </c>
      <c r="O14" s="37">
        <f t="shared" si="21"/>
        <v>30856</v>
      </c>
      <c r="P14" s="37">
        <v>62431</v>
      </c>
      <c r="Q14" s="37">
        <f t="shared" si="21"/>
        <v>73470</v>
      </c>
      <c r="R14" s="37">
        <f>SUM(R13,R10)</f>
        <v>73123</v>
      </c>
      <c r="S14" s="37">
        <f>SUM(S13,S10)</f>
        <v>-8129</v>
      </c>
      <c r="T14" s="37">
        <f>SUM(T13,T10)</f>
        <v>-22459</v>
      </c>
      <c r="U14" s="37">
        <f>SUM(U13,U10)</f>
        <v>-22735</v>
      </c>
      <c r="V14" s="37">
        <f t="shared" ref="V14:Y14" si="22">SUM(V13,V10)</f>
        <v>-17148</v>
      </c>
      <c r="W14" s="37">
        <f t="shared" si="22"/>
        <v>11978.175057076725</v>
      </c>
      <c r="X14" s="37">
        <f t="shared" si="22"/>
        <v>34719.561167340347</v>
      </c>
      <c r="Y14" s="38">
        <f t="shared" si="22"/>
        <v>53530.141361873291</v>
      </c>
      <c r="AA14" s="37">
        <f t="shared" si="0"/>
        <v>52717.074498816713</v>
      </c>
      <c r="AB14" s="37">
        <f t="shared" si="1"/>
        <v>47398.925501183287</v>
      </c>
      <c r="AC14" s="37">
        <f t="shared" si="12"/>
        <v>38483</v>
      </c>
      <c r="AD14" s="37">
        <f t="shared" si="2"/>
        <v>37451</v>
      </c>
      <c r="AE14" s="37">
        <f t="shared" si="3"/>
        <v>35782.78670203255</v>
      </c>
      <c r="AF14" s="37">
        <f t="shared" si="4"/>
        <v>26579.21329796745</v>
      </c>
      <c r="AG14" s="37">
        <f t="shared" si="5"/>
        <v>30856</v>
      </c>
      <c r="AH14" s="37">
        <f t="shared" si="6"/>
        <v>31575</v>
      </c>
      <c r="AI14" s="37">
        <f t="shared" si="7"/>
        <v>11039</v>
      </c>
      <c r="AJ14" s="37">
        <f t="shared" si="8"/>
        <v>-347</v>
      </c>
      <c r="AK14" s="37">
        <f t="shared" si="13"/>
        <v>-8129</v>
      </c>
      <c r="AL14" s="37">
        <f t="shared" si="9"/>
        <v>-14330</v>
      </c>
      <c r="AM14" s="37">
        <f t="shared" si="10"/>
        <v>-276</v>
      </c>
      <c r="AN14" s="37">
        <f t="shared" si="11"/>
        <v>5587</v>
      </c>
      <c r="AO14" s="37">
        <f t="shared" si="14"/>
        <v>11978.175057076725</v>
      </c>
      <c r="AP14" s="37">
        <f t="shared" si="15"/>
        <v>22741.386110263622</v>
      </c>
      <c r="AQ14" s="38">
        <f t="shared" si="15"/>
        <v>18810.580194532944</v>
      </c>
    </row>
    <row r="15" spans="2:43" x14ac:dyDescent="0.25">
      <c r="B15" s="10"/>
      <c r="D15" s="39" t="s">
        <v>109</v>
      </c>
      <c r="E15" s="40">
        <v>4677</v>
      </c>
      <c r="F15" s="40">
        <v>5809.7359739047224</v>
      </c>
      <c r="G15" s="40">
        <v>7617</v>
      </c>
      <c r="H15" s="40">
        <v>3444</v>
      </c>
      <c r="I15" s="40">
        <v>5116.6454408655263</v>
      </c>
      <c r="J15" s="40">
        <v>4432</v>
      </c>
      <c r="K15" s="40">
        <v>944</v>
      </c>
      <c r="L15" s="40">
        <v>1684</v>
      </c>
      <c r="M15" s="40">
        <v>3360.7093052500841</v>
      </c>
      <c r="N15" s="40">
        <v>6884</v>
      </c>
      <c r="O15" s="40">
        <v>1429</v>
      </c>
      <c r="P15" s="40">
        <v>2820</v>
      </c>
      <c r="Q15" s="40">
        <v>3712</v>
      </c>
      <c r="R15" s="40">
        <v>5635</v>
      </c>
      <c r="S15" s="40">
        <v>1083</v>
      </c>
      <c r="T15" s="40">
        <v>1955</v>
      </c>
      <c r="U15" s="40">
        <v>2759</v>
      </c>
      <c r="V15" s="40">
        <v>3342</v>
      </c>
      <c r="W15" s="40">
        <v>630.0702629234529</v>
      </c>
      <c r="X15" s="40">
        <v>1346.5012316123903</v>
      </c>
      <c r="Y15" s="41">
        <v>1923.7253556185872</v>
      </c>
      <c r="AA15" s="40">
        <f t="shared" si="0"/>
        <v>1672.6454408655263</v>
      </c>
      <c r="AB15" s="40">
        <f t="shared" si="1"/>
        <v>-684.64544086552633</v>
      </c>
      <c r="AC15" s="40">
        <f t="shared" si="12"/>
        <v>944</v>
      </c>
      <c r="AD15" s="40">
        <f t="shared" si="2"/>
        <v>740</v>
      </c>
      <c r="AE15" s="40">
        <f t="shared" si="3"/>
        <v>1676.7093052500841</v>
      </c>
      <c r="AF15" s="40">
        <f t="shared" si="4"/>
        <v>3523.2906947499159</v>
      </c>
      <c r="AG15" s="40">
        <f t="shared" si="5"/>
        <v>1429</v>
      </c>
      <c r="AH15" s="40">
        <f t="shared" si="6"/>
        <v>1391</v>
      </c>
      <c r="AI15" s="40">
        <f t="shared" si="7"/>
        <v>892</v>
      </c>
      <c r="AJ15" s="40">
        <f t="shared" si="8"/>
        <v>1923</v>
      </c>
      <c r="AK15" s="40">
        <f t="shared" si="13"/>
        <v>1083</v>
      </c>
      <c r="AL15" s="40">
        <f t="shared" si="9"/>
        <v>872</v>
      </c>
      <c r="AM15" s="40">
        <f t="shared" si="10"/>
        <v>804</v>
      </c>
      <c r="AN15" s="40">
        <f t="shared" si="11"/>
        <v>583</v>
      </c>
      <c r="AO15" s="40">
        <f t="shared" si="14"/>
        <v>630.0702629234529</v>
      </c>
      <c r="AP15" s="40">
        <f t="shared" si="15"/>
        <v>716.43096868893736</v>
      </c>
      <c r="AQ15" s="41">
        <f t="shared" si="15"/>
        <v>577.22412400619692</v>
      </c>
    </row>
    <row r="16" spans="2:43" x14ac:dyDescent="0.25">
      <c r="B16" s="10"/>
      <c r="D16" s="33" t="s">
        <v>107</v>
      </c>
      <c r="E16" s="37">
        <f>SUM(E14:E15)</f>
        <v>155963</v>
      </c>
      <c r="F16" s="37">
        <f>SUM(F14:F15)</f>
        <v>108123.8788399995</v>
      </c>
      <c r="G16" s="37">
        <f t="shared" ref="G16:Q16" si="23">SUM(G14:G15)</f>
        <v>142837</v>
      </c>
      <c r="H16" s="37">
        <f t="shared" si="23"/>
        <v>78520</v>
      </c>
      <c r="I16" s="37">
        <f t="shared" si="23"/>
        <v>132909.71993968223</v>
      </c>
      <c r="J16" s="37">
        <f t="shared" si="23"/>
        <v>179624</v>
      </c>
      <c r="K16" s="37">
        <f t="shared" si="23"/>
        <v>39427</v>
      </c>
      <c r="L16" s="37">
        <f t="shared" si="23"/>
        <v>77618</v>
      </c>
      <c r="M16" s="37">
        <f t="shared" si="23"/>
        <v>115077.49600728264</v>
      </c>
      <c r="N16" s="37">
        <f t="shared" si="23"/>
        <v>145180</v>
      </c>
      <c r="O16" s="37">
        <f t="shared" si="23"/>
        <v>32285</v>
      </c>
      <c r="P16" s="37">
        <v>65251</v>
      </c>
      <c r="Q16" s="37">
        <f t="shared" si="23"/>
        <v>77182</v>
      </c>
      <c r="R16" s="37">
        <f>SUM(R14:R15)</f>
        <v>78758</v>
      </c>
      <c r="S16" s="37">
        <f>SUM(S14:S15)</f>
        <v>-7046</v>
      </c>
      <c r="T16" s="37">
        <f>SUM(T14:T15)</f>
        <v>-20504</v>
      </c>
      <c r="U16" s="37">
        <f>SUM(U14:U15)</f>
        <v>-19976</v>
      </c>
      <c r="V16" s="37">
        <f t="shared" ref="V16:Y16" si="24">SUM(V14:V15)</f>
        <v>-13806</v>
      </c>
      <c r="W16" s="37">
        <f t="shared" si="24"/>
        <v>12608.245320000178</v>
      </c>
      <c r="X16" s="37">
        <f t="shared" si="24"/>
        <v>36066.062398952738</v>
      </c>
      <c r="Y16" s="38">
        <f t="shared" si="24"/>
        <v>55453.866717491881</v>
      </c>
      <c r="AA16" s="37">
        <f t="shared" si="0"/>
        <v>54389.719939682225</v>
      </c>
      <c r="AB16" s="37">
        <f t="shared" si="1"/>
        <v>46714.280060317775</v>
      </c>
      <c r="AC16" s="37">
        <f t="shared" si="12"/>
        <v>39427</v>
      </c>
      <c r="AD16" s="37">
        <f t="shared" si="2"/>
        <v>38191</v>
      </c>
      <c r="AE16" s="37">
        <f t="shared" si="3"/>
        <v>37459.496007282636</v>
      </c>
      <c r="AF16" s="37">
        <f t="shared" si="4"/>
        <v>30102.503992717364</v>
      </c>
      <c r="AG16" s="37">
        <f t="shared" si="5"/>
        <v>32285</v>
      </c>
      <c r="AH16" s="37">
        <f t="shared" si="6"/>
        <v>32966</v>
      </c>
      <c r="AI16" s="37">
        <f t="shared" si="7"/>
        <v>11931</v>
      </c>
      <c r="AJ16" s="37">
        <f t="shared" si="8"/>
        <v>1576</v>
      </c>
      <c r="AK16" s="37">
        <f t="shared" si="13"/>
        <v>-7046</v>
      </c>
      <c r="AL16" s="37">
        <f t="shared" si="9"/>
        <v>-13458</v>
      </c>
      <c r="AM16" s="37">
        <f t="shared" si="10"/>
        <v>528</v>
      </c>
      <c r="AN16" s="37">
        <f t="shared" si="11"/>
        <v>6170</v>
      </c>
      <c r="AO16" s="37">
        <f t="shared" si="14"/>
        <v>12608.245320000178</v>
      </c>
      <c r="AP16" s="37">
        <f t="shared" si="15"/>
        <v>23457.817078952561</v>
      </c>
      <c r="AQ16" s="38">
        <f t="shared" si="15"/>
        <v>19387.804318539143</v>
      </c>
    </row>
    <row r="17" spans="2:43" ht="15" thickBot="1" x14ac:dyDescent="0.3">
      <c r="B17" s="10"/>
      <c r="D17" s="39" t="s">
        <v>71</v>
      </c>
      <c r="E17" s="40">
        <v>-38752</v>
      </c>
      <c r="F17" s="40">
        <v>-26601.341855272254</v>
      </c>
      <c r="G17" s="40">
        <v>-35542</v>
      </c>
      <c r="H17" s="40">
        <v>-19631</v>
      </c>
      <c r="I17" s="40">
        <v>-33255.541249920563</v>
      </c>
      <c r="J17" s="40">
        <v>-44778</v>
      </c>
      <c r="K17" s="40">
        <v>-9827</v>
      </c>
      <c r="L17" s="40">
        <v>-19408</v>
      </c>
      <c r="M17" s="40">
        <v>-28784.250481820487</v>
      </c>
      <c r="N17" s="40">
        <v>-35043</v>
      </c>
      <c r="O17" s="40">
        <v>-8096</v>
      </c>
      <c r="P17" s="40">
        <v>-16275</v>
      </c>
      <c r="Q17" s="40">
        <v>-18872</v>
      </c>
      <c r="R17" s="40">
        <v>-19235</v>
      </c>
      <c r="S17" s="40">
        <v>1764</v>
      </c>
      <c r="T17" s="40">
        <v>4945</v>
      </c>
      <c r="U17" s="40">
        <v>5288</v>
      </c>
      <c r="V17" s="40">
        <v>3972</v>
      </c>
      <c r="W17" s="40">
        <v>-3310.0775800000001</v>
      </c>
      <c r="X17" s="40">
        <v>-9312.4121047382378</v>
      </c>
      <c r="Y17" s="41">
        <v>-13524.321906872898</v>
      </c>
      <c r="AA17" s="40">
        <f t="shared" si="0"/>
        <v>-13624.541249920563</v>
      </c>
      <c r="AB17" s="40">
        <f t="shared" si="1"/>
        <v>-11522.458750079437</v>
      </c>
      <c r="AC17" s="40">
        <f t="shared" si="12"/>
        <v>-9827</v>
      </c>
      <c r="AD17" s="40">
        <f t="shared" si="2"/>
        <v>-9581</v>
      </c>
      <c r="AE17" s="40">
        <f t="shared" si="3"/>
        <v>-9376.250481820487</v>
      </c>
      <c r="AF17" s="40">
        <f t="shared" si="4"/>
        <v>-6258.749518179513</v>
      </c>
      <c r="AG17" s="40">
        <f t="shared" si="5"/>
        <v>-8096</v>
      </c>
      <c r="AH17" s="40">
        <f t="shared" si="6"/>
        <v>-8179</v>
      </c>
      <c r="AI17" s="40">
        <f t="shared" si="7"/>
        <v>-2597</v>
      </c>
      <c r="AJ17" s="40">
        <f t="shared" si="8"/>
        <v>-363</v>
      </c>
      <c r="AK17" s="40">
        <f t="shared" si="13"/>
        <v>1764</v>
      </c>
      <c r="AL17" s="40">
        <f t="shared" si="9"/>
        <v>3181</v>
      </c>
      <c r="AM17" s="40">
        <f t="shared" si="10"/>
        <v>343</v>
      </c>
      <c r="AN17" s="40">
        <f t="shared" si="11"/>
        <v>-1316</v>
      </c>
      <c r="AO17" s="40">
        <f t="shared" si="14"/>
        <v>-3310.0775800000001</v>
      </c>
      <c r="AP17" s="40">
        <f t="shared" si="15"/>
        <v>-6002.3345247382376</v>
      </c>
      <c r="AQ17" s="41">
        <f t="shared" si="15"/>
        <v>-4211.9098021346599</v>
      </c>
    </row>
    <row r="18" spans="2:43" ht="15" thickBot="1" x14ac:dyDescent="0.3">
      <c r="B18" s="10"/>
      <c r="D18" s="42" t="s">
        <v>108</v>
      </c>
      <c r="E18" s="43">
        <f>SUM(E16:E17)</f>
        <v>117211</v>
      </c>
      <c r="F18" s="43">
        <f>SUM(F16:F17)</f>
        <v>81522.536984727238</v>
      </c>
      <c r="G18" s="43">
        <f t="shared" ref="G18:Y18" si="25">SUM(G16:G17)</f>
        <v>107295</v>
      </c>
      <c r="H18" s="43">
        <f t="shared" si="25"/>
        <v>58889</v>
      </c>
      <c r="I18" s="43">
        <f t="shared" si="25"/>
        <v>99654.178689761669</v>
      </c>
      <c r="J18" s="43">
        <f t="shared" si="25"/>
        <v>134846</v>
      </c>
      <c r="K18" s="43">
        <f t="shared" si="25"/>
        <v>29600</v>
      </c>
      <c r="L18" s="43">
        <f t="shared" si="25"/>
        <v>58210</v>
      </c>
      <c r="M18" s="43">
        <f t="shared" si="25"/>
        <v>86293.245525462145</v>
      </c>
      <c r="N18" s="43">
        <f t="shared" si="25"/>
        <v>110137</v>
      </c>
      <c r="O18" s="43">
        <f t="shared" si="25"/>
        <v>24189</v>
      </c>
      <c r="P18" s="43">
        <v>48976</v>
      </c>
      <c r="Q18" s="43">
        <f t="shared" si="25"/>
        <v>58310</v>
      </c>
      <c r="R18" s="43">
        <f t="shared" si="25"/>
        <v>59523</v>
      </c>
      <c r="S18" s="43">
        <f t="shared" si="25"/>
        <v>-5282</v>
      </c>
      <c r="T18" s="43">
        <f t="shared" si="25"/>
        <v>-15559</v>
      </c>
      <c r="U18" s="43">
        <f t="shared" si="25"/>
        <v>-14688</v>
      </c>
      <c r="V18" s="43">
        <f t="shared" si="25"/>
        <v>-9834</v>
      </c>
      <c r="W18" s="43">
        <f t="shared" si="25"/>
        <v>9298.167740000179</v>
      </c>
      <c r="X18" s="43">
        <f t="shared" si="25"/>
        <v>26753.650294214502</v>
      </c>
      <c r="Y18" s="44">
        <f t="shared" si="25"/>
        <v>41929.544810618987</v>
      </c>
      <c r="AA18" s="43">
        <f t="shared" si="0"/>
        <v>40765.178689761669</v>
      </c>
      <c r="AB18" s="43">
        <f t="shared" si="1"/>
        <v>35191.821310238331</v>
      </c>
      <c r="AC18" s="43">
        <f t="shared" si="12"/>
        <v>29600</v>
      </c>
      <c r="AD18" s="43">
        <f t="shared" si="2"/>
        <v>28610</v>
      </c>
      <c r="AE18" s="43">
        <f t="shared" si="3"/>
        <v>28083.245525462145</v>
      </c>
      <c r="AF18" s="43">
        <f>N18-M18</f>
        <v>23843.754474537855</v>
      </c>
      <c r="AG18" s="43">
        <f>O18</f>
        <v>24189</v>
      </c>
      <c r="AH18" s="43">
        <f t="shared" si="6"/>
        <v>24787</v>
      </c>
      <c r="AI18" s="43">
        <f t="shared" si="7"/>
        <v>9334</v>
      </c>
      <c r="AJ18" s="43">
        <f t="shared" si="8"/>
        <v>1213</v>
      </c>
      <c r="AK18" s="43">
        <f t="shared" si="13"/>
        <v>-5282</v>
      </c>
      <c r="AL18" s="43">
        <f t="shared" si="9"/>
        <v>-10277</v>
      </c>
      <c r="AM18" s="43">
        <f t="shared" si="10"/>
        <v>871</v>
      </c>
      <c r="AN18" s="43">
        <f t="shared" si="11"/>
        <v>4854</v>
      </c>
      <c r="AO18" s="43">
        <f t="shared" si="14"/>
        <v>9298.167740000179</v>
      </c>
      <c r="AP18" s="43">
        <f t="shared" si="15"/>
        <v>17455.482554214323</v>
      </c>
      <c r="AQ18" s="44">
        <f t="shared" si="15"/>
        <v>15175.894516404485</v>
      </c>
    </row>
    <row r="19" spans="2:43" s="10" customFormat="1" ht="9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</row>
    <row r="20" spans="2:43" s="10" customFormat="1" x14ac:dyDescent="0.25">
      <c r="E20" s="81"/>
      <c r="F20" s="81"/>
      <c r="G20" s="81"/>
      <c r="H20" s="81"/>
      <c r="I20" s="81"/>
      <c r="J20" s="81"/>
      <c r="K20" s="81"/>
      <c r="L20" s="81"/>
      <c r="M20" s="81"/>
      <c r="S20" s="27"/>
      <c r="T20" s="27"/>
      <c r="U20" s="27"/>
      <c r="V20" s="27"/>
      <c r="W20" s="27"/>
      <c r="X20" s="27"/>
      <c r="Y20" s="27" t="s">
        <v>46</v>
      </c>
      <c r="Z20" s="27"/>
      <c r="AA20" s="81"/>
      <c r="AB20" s="81"/>
      <c r="AC20" s="81"/>
      <c r="AD20" s="81"/>
      <c r="AE20" s="81"/>
      <c r="AI20" s="84"/>
      <c r="AK20" s="27"/>
      <c r="AL20" s="27"/>
      <c r="AM20" s="27"/>
      <c r="AN20" s="27"/>
      <c r="AO20" s="27"/>
      <c r="AP20" s="27"/>
      <c r="AQ20" s="27" t="s">
        <v>46</v>
      </c>
    </row>
    <row r="21" spans="2:43" x14ac:dyDescent="0.25">
      <c r="D21" s="46"/>
      <c r="G21" s="85"/>
    </row>
    <row r="22" spans="2:43" x14ac:dyDescent="0.25">
      <c r="G22" s="86"/>
    </row>
    <row r="23" spans="2:43" ht="15" thickBot="1" x14ac:dyDescent="0.3">
      <c r="D23" s="23"/>
      <c r="E23" s="47" t="s">
        <v>6</v>
      </c>
      <c r="F23" s="35" t="s">
        <v>21</v>
      </c>
      <c r="G23" s="47" t="s">
        <v>3</v>
      </c>
      <c r="H23" s="35" t="s">
        <v>22</v>
      </c>
      <c r="I23" s="35" t="s">
        <v>23</v>
      </c>
      <c r="J23" s="47" t="s">
        <v>4</v>
      </c>
      <c r="K23" s="35" t="s">
        <v>24</v>
      </c>
      <c r="L23" s="35" t="s">
        <v>25</v>
      </c>
      <c r="M23" s="35" t="s">
        <v>26</v>
      </c>
      <c r="N23" s="35" t="s">
        <v>14</v>
      </c>
      <c r="O23" s="35" t="s">
        <v>27</v>
      </c>
      <c r="P23" s="35" t="s">
        <v>28</v>
      </c>
      <c r="Q23" s="35" t="s">
        <v>29</v>
      </c>
      <c r="R23" s="47" t="s">
        <v>16</v>
      </c>
      <c r="S23" s="47" t="s">
        <v>17</v>
      </c>
      <c r="T23" s="47" t="s">
        <v>18</v>
      </c>
      <c r="U23" s="47" t="s">
        <v>19</v>
      </c>
      <c r="V23" s="47" t="s">
        <v>20</v>
      </c>
      <c r="W23" s="47" t="s">
        <v>190</v>
      </c>
      <c r="X23" s="47" t="s">
        <v>215</v>
      </c>
      <c r="Y23" s="36" t="s">
        <v>219</v>
      </c>
      <c r="AA23" s="35" t="s">
        <v>110</v>
      </c>
      <c r="AB23" s="35" t="s">
        <v>111</v>
      </c>
      <c r="AC23" s="35" t="s">
        <v>112</v>
      </c>
      <c r="AD23" s="35" t="s">
        <v>113</v>
      </c>
      <c r="AE23" s="35" t="s">
        <v>114</v>
      </c>
      <c r="AF23" s="35" t="s">
        <v>115</v>
      </c>
      <c r="AG23" s="35" t="s">
        <v>116</v>
      </c>
      <c r="AH23" s="35" t="s">
        <v>117</v>
      </c>
      <c r="AI23" s="35" t="s">
        <v>118</v>
      </c>
      <c r="AJ23" s="35" t="s">
        <v>119</v>
      </c>
      <c r="AK23" s="35" t="s">
        <v>62</v>
      </c>
      <c r="AL23" s="35" t="s">
        <v>63</v>
      </c>
      <c r="AM23" s="35" t="s">
        <v>64</v>
      </c>
      <c r="AN23" s="35" t="s">
        <v>65</v>
      </c>
      <c r="AO23" s="35" t="s">
        <v>191</v>
      </c>
      <c r="AP23" s="35" t="s">
        <v>216</v>
      </c>
      <c r="AQ23" s="36" t="s">
        <v>220</v>
      </c>
    </row>
    <row r="24" spans="2:43" x14ac:dyDescent="0.25">
      <c r="D24" s="48" t="s">
        <v>60</v>
      </c>
      <c r="E24" s="49">
        <f>-E7/E6</f>
        <v>0.64686526463054139</v>
      </c>
      <c r="F24" s="49">
        <f>-F7/F6</f>
        <v>0.67806693457017408</v>
      </c>
      <c r="G24" s="49">
        <f t="shared" ref="G24:I24" si="26">-G7/G6</f>
        <v>0.67970616382104021</v>
      </c>
      <c r="H24" s="49">
        <f t="shared" si="26"/>
        <v>0.64370165745856356</v>
      </c>
      <c r="I24" s="49">
        <f t="shared" si="26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:U24" si="27">-L7/L6</f>
        <v>0.65341645393389347</v>
      </c>
      <c r="M24" s="49">
        <f t="shared" si="27"/>
        <v>0.65935325154689928</v>
      </c>
      <c r="N24" s="49">
        <f t="shared" si="27"/>
        <v>0.67724146056316326</v>
      </c>
      <c r="O24" s="49">
        <f t="shared" si="27"/>
        <v>0.69145899659677246</v>
      </c>
      <c r="P24" s="49">
        <f t="shared" si="27"/>
        <v>0.70226536484213531</v>
      </c>
      <c r="Q24" s="49">
        <f t="shared" si="27"/>
        <v>0.72830126142696971</v>
      </c>
      <c r="R24" s="49">
        <f t="shared" si="27"/>
        <v>0.75667825463250304</v>
      </c>
      <c r="S24" s="49">
        <f t="shared" si="27"/>
        <v>0.8630382592040301</v>
      </c>
      <c r="T24" s="49">
        <f t="shared" si="27"/>
        <v>0.88871597520432188</v>
      </c>
      <c r="U24" s="49">
        <f t="shared" si="27"/>
        <v>0.87312832694178921</v>
      </c>
      <c r="V24" s="49">
        <f t="shared" ref="V24:Y24" si="28">-V7/V6</f>
        <v>0.85514249687972776</v>
      </c>
      <c r="W24" s="49">
        <f t="shared" si="28"/>
        <v>0.78883212479407372</v>
      </c>
      <c r="X24" s="49">
        <f t="shared" si="28"/>
        <v>0.77184727023656763</v>
      </c>
      <c r="Y24" s="50">
        <f t="shared" si="28"/>
        <v>0.77116133266179709</v>
      </c>
      <c r="AA24" s="49">
        <f t="shared" ref="AA24:AI24" si="29">-AA7/AA6</f>
        <v>0.56634394796042486</v>
      </c>
      <c r="AB24" s="49">
        <f t="shared" si="29"/>
        <v>0.60702079619173344</v>
      </c>
      <c r="AC24" s="49">
        <f t="shared" si="29"/>
        <v>0.65791687077722216</v>
      </c>
      <c r="AD24" s="49">
        <f t="shared" si="29"/>
        <v>0.64898204519892355</v>
      </c>
      <c r="AE24" s="49">
        <f t="shared" si="29"/>
        <v>0.67098447235863878</v>
      </c>
      <c r="AF24" s="49">
        <f t="shared" si="29"/>
        <v>0.72978463657366088</v>
      </c>
      <c r="AG24" s="49">
        <f t="shared" si="29"/>
        <v>0.69145899659677246</v>
      </c>
      <c r="AH24" s="49">
        <f t="shared" si="29"/>
        <v>0.71285344854631749</v>
      </c>
      <c r="AI24" s="49">
        <f t="shared" si="29"/>
        <v>0.77873172613984165</v>
      </c>
      <c r="AJ24" s="49">
        <f>-AJ7/AJ6</f>
        <v>0.83901234567901239</v>
      </c>
      <c r="AK24" s="49">
        <f>-AK7/AK6</f>
        <v>0.8630382592040301</v>
      </c>
      <c r="AL24" s="49">
        <f>-AL7/AL6</f>
        <v>0.91388066289818681</v>
      </c>
      <c r="AM24" s="49">
        <f>-AM7/AM6</f>
        <v>0.84271864338073843</v>
      </c>
      <c r="AN24" s="49">
        <f>-AN7/AN6</f>
        <v>0.80228112895696391</v>
      </c>
      <c r="AO24" s="49">
        <f t="shared" ref="AO24" si="30">-AO7/AO6</f>
        <v>0.78883212479407372</v>
      </c>
      <c r="AP24" s="49">
        <f t="shared" ref="AP24:AQ24" si="31">-AP7/AP6</f>
        <v>0.75499862970488196</v>
      </c>
      <c r="AQ24" s="50">
        <f t="shared" si="31"/>
        <v>0.76982860555606181</v>
      </c>
    </row>
    <row r="25" spans="2:43" ht="15" thickBot="1" x14ac:dyDescent="0.3">
      <c r="D25" s="48" t="s">
        <v>61</v>
      </c>
      <c r="E25" s="49">
        <f>-(E8+E9)/E6</f>
        <v>0.20880839996618844</v>
      </c>
      <c r="F25" s="49">
        <f>-(F8+F9)/F6</f>
        <v>0.19615531286821644</v>
      </c>
      <c r="G25" s="49">
        <f t="shared" ref="G25:I25" si="32">-(G8+G9)/G6</f>
        <v>0.19903201124991518</v>
      </c>
      <c r="H25" s="49">
        <f t="shared" si="32"/>
        <v>0.21349447513812156</v>
      </c>
      <c r="I25" s="49">
        <f t="shared" si="32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:U25" si="33">-(L8+L9)/L6</f>
        <v>0.20176700084634386</v>
      </c>
      <c r="M25" s="49">
        <f t="shared" si="33"/>
        <v>0.2045721926805609</v>
      </c>
      <c r="N25" s="49">
        <f t="shared" si="33"/>
        <v>0.20535544357944915</v>
      </c>
      <c r="O25" s="49">
        <f t="shared" si="33"/>
        <v>0.19826545175101548</v>
      </c>
      <c r="P25" s="49">
        <f t="shared" si="33"/>
        <v>0.19801285374395289</v>
      </c>
      <c r="Q25" s="49">
        <f t="shared" si="33"/>
        <v>0.20086085784200289</v>
      </c>
      <c r="R25" s="49">
        <f t="shared" si="33"/>
        <v>0.20629280950250209</v>
      </c>
      <c r="S25" s="49">
        <f t="shared" si="33"/>
        <v>0.21045404653725561</v>
      </c>
      <c r="T25" s="49">
        <f t="shared" si="33"/>
        <v>0.19651916816733619</v>
      </c>
      <c r="U25" s="49">
        <f t="shared" si="33"/>
        <v>0.19528075095873162</v>
      </c>
      <c r="V25" s="49">
        <f t="shared" ref="V25:Y25" si="34">-(V8+V9)/V6</f>
        <v>0.19934295448406339</v>
      </c>
      <c r="W25" s="49">
        <f t="shared" si="34"/>
        <v>0.19620524252562285</v>
      </c>
      <c r="X25" s="49">
        <f t="shared" si="34"/>
        <v>0.19336202023878765</v>
      </c>
      <c r="Y25" s="50">
        <f t="shared" si="34"/>
        <v>0.19271054391344317</v>
      </c>
      <c r="AA25" s="49">
        <f t="shared" ref="AA25:AH25" si="35">-(AA8+AA9)/AA6</f>
        <v>0.21744117129504786</v>
      </c>
      <c r="AB25" s="49">
        <f t="shared" si="35"/>
        <v>0.23055395895321951</v>
      </c>
      <c r="AC25" s="49">
        <f t="shared" si="35"/>
        <v>0.19630660024215985</v>
      </c>
      <c r="AD25" s="49">
        <f t="shared" si="35"/>
        <v>0.20714731315486301</v>
      </c>
      <c r="AE25" s="49">
        <f t="shared" si="35"/>
        <v>0.21006805219438179</v>
      </c>
      <c r="AF25" s="49">
        <f t="shared" si="35"/>
        <v>0.20765609256019665</v>
      </c>
      <c r="AG25" s="49">
        <f t="shared" si="35"/>
        <v>0.19826545175101548</v>
      </c>
      <c r="AH25" s="49">
        <f t="shared" si="35"/>
        <v>0.1977653581208571</v>
      </c>
      <c r="AI25" s="49">
        <f t="shared" ref="AI25:AO25" si="36">-(AI8+AI9)/AI6</f>
        <v>0.20637732506643047</v>
      </c>
      <c r="AJ25" s="49">
        <f t="shared" si="36"/>
        <v>0.22205328135152697</v>
      </c>
      <c r="AK25" s="49">
        <f t="shared" si="36"/>
        <v>0.21045404653725561</v>
      </c>
      <c r="AL25" s="49">
        <f t="shared" si="36"/>
        <v>0.18286270190581086</v>
      </c>
      <c r="AM25" s="49">
        <f t="shared" si="36"/>
        <v>0.19286474343816504</v>
      </c>
      <c r="AN25" s="49">
        <f t="shared" si="36"/>
        <v>0.21128199952055918</v>
      </c>
      <c r="AO25" s="49">
        <f t="shared" si="36"/>
        <v>0.19620524252562285</v>
      </c>
      <c r="AP25" s="49">
        <f t="shared" ref="AP25:AQ25" si="37">-(AP8+AP9)/AP6</f>
        <v>0.19054159984010996</v>
      </c>
      <c r="AQ25" s="50">
        <f t="shared" si="37"/>
        <v>0.19144477252335418</v>
      </c>
    </row>
    <row r="26" spans="2:43" ht="15" thickBot="1" x14ac:dyDescent="0.3">
      <c r="D26" s="42" t="s">
        <v>55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38">-(G7+G8+G9)/G6</f>
        <v>0.87873817507095542</v>
      </c>
      <c r="H26" s="51">
        <f t="shared" si="38"/>
        <v>0.85719613259668503</v>
      </c>
      <c r="I26" s="51">
        <f t="shared" si="38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:U26" si="39">-(L7+L8+L9)/L6</f>
        <v>0.85518345478023727</v>
      </c>
      <c r="M26" s="51">
        <f t="shared" si="39"/>
        <v>0.8639254442274602</v>
      </c>
      <c r="N26" s="51">
        <f t="shared" si="39"/>
        <v>0.88259690414261249</v>
      </c>
      <c r="O26" s="51">
        <f t="shared" si="39"/>
        <v>0.88972444834778786</v>
      </c>
      <c r="P26" s="51">
        <f t="shared" si="39"/>
        <v>0.90027821858608814</v>
      </c>
      <c r="Q26" s="51">
        <f t="shared" si="39"/>
        <v>0.92916211926897252</v>
      </c>
      <c r="R26" s="51">
        <f t="shared" si="39"/>
        <v>0.96297106413500522</v>
      </c>
      <c r="S26" s="51">
        <f t="shared" si="39"/>
        <v>1.0734923057412857</v>
      </c>
      <c r="T26" s="51">
        <f t="shared" si="39"/>
        <v>1.0852351433716581</v>
      </c>
      <c r="U26" s="51">
        <f t="shared" si="39"/>
        <v>1.0684090779005209</v>
      </c>
      <c r="V26" s="51">
        <f t="shared" ref="V26:Y26" si="40">-(V7+V8+V9)/V6</f>
        <v>1.0544854513637911</v>
      </c>
      <c r="W26" s="51">
        <f t="shared" si="40"/>
        <v>0.98503736731969671</v>
      </c>
      <c r="X26" s="51">
        <f t="shared" si="40"/>
        <v>0.9652092904753552</v>
      </c>
      <c r="Y26" s="52">
        <f t="shared" si="40"/>
        <v>0.96387187657524021</v>
      </c>
      <c r="AA26" s="51">
        <f t="shared" ref="AA26:AI26" si="41">-(AA7+AA8+AA9)/AA6</f>
        <v>0.78378511925547267</v>
      </c>
      <c r="AB26" s="51">
        <f t="shared" si="41"/>
        <v>0.83757475514495305</v>
      </c>
      <c r="AC26" s="51">
        <f t="shared" si="41"/>
        <v>0.85422347101938201</v>
      </c>
      <c r="AD26" s="51">
        <f t="shared" si="41"/>
        <v>0.85612935835378656</v>
      </c>
      <c r="AE26" s="51">
        <f t="shared" si="41"/>
        <v>0.88105252455302052</v>
      </c>
      <c r="AF26" s="51">
        <f t="shared" si="41"/>
        <v>0.93744072913385756</v>
      </c>
      <c r="AG26" s="51">
        <f t="shared" si="41"/>
        <v>0.88972444834778786</v>
      </c>
      <c r="AH26" s="51">
        <f t="shared" si="41"/>
        <v>0.91061880666717465</v>
      </c>
      <c r="AI26" s="51">
        <f t="shared" si="41"/>
        <v>0.98510905120627212</v>
      </c>
      <c r="AJ26" s="51">
        <f>-(AJ7+AJ8+AJ9)/AJ6</f>
        <v>1.0610656270305394</v>
      </c>
      <c r="AK26" s="51">
        <f>-(AK7+AK8+AK9)/AK6</f>
        <v>1.0734923057412857</v>
      </c>
      <c r="AL26" s="51">
        <f>-(AL7+AL8+AL9)/AL6</f>
        <v>1.0967433648039977</v>
      </c>
      <c r="AM26" s="51">
        <f>-(AM7+AM8+AM9)/AM6</f>
        <v>1.0355833868189035</v>
      </c>
      <c r="AN26" s="51">
        <f>-(AN7+AN8+AN9)/AN6</f>
        <v>1.0135631284775231</v>
      </c>
      <c r="AO26" s="51">
        <f t="shared" ref="AO26" si="42">-(AO7+AO8+AO9)/AO6</f>
        <v>0.98503736731969671</v>
      </c>
      <c r="AP26" s="51">
        <f t="shared" ref="AP26:AQ26" si="43">-(AP7+AP8+AP9)/AP6</f>
        <v>0.94554022954499195</v>
      </c>
      <c r="AQ26" s="52">
        <f t="shared" si="43"/>
        <v>0.96127337807941604</v>
      </c>
    </row>
    <row r="29" spans="2:43" x14ac:dyDescent="0.25">
      <c r="AI29" s="87"/>
      <c r="AJ29" s="87"/>
    </row>
  </sheetData>
  <hyperlinks>
    <hyperlink ref="B2" location="'Financial Supplement&gt;&gt;&gt;'!A1" display="ÍNDICE" xr:uid="{A5352E2C-DA8A-42F8-91C8-FD4CCD5BD0F9}"/>
  </hyperlinks>
  <pageMargins left="0.7" right="0.7" top="0.75" bottom="0.75" header="0.3" footer="0.3"/>
  <pageSetup paperSize="9" scale="63" orientation="landscape" r:id="rId1"/>
  <colBreaks count="1" manualBreakCount="1">
    <brk id="34" max="1048575" man="1"/>
  </colBreaks>
  <ignoredErrors>
    <ignoredError sqref="E10:U10 E17:T17 Z10:Z17 E13:U14 E11:T12 E16:U16 E15:T15 V10:V17 W10:W18 X10:Y10 X17 X13:Y14 X11 X12 X16:Y16 X15" formulaRange="1"/>
    <ignoredError sqref="AC5:AO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Z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customWidth="1" collapsed="1"/>
    <col min="22" max="22" width="11.28515625" style="10" customWidth="1"/>
    <col min="23" max="24" width="11.28515625" style="10" hidden="1" customWidth="1" outlineLevel="1"/>
    <col min="25" max="25" width="11.28515625" style="10" customWidth="1" collapsed="1"/>
    <col min="26" max="16384" width="11.42578125" style="10"/>
  </cols>
  <sheetData>
    <row r="1" spans="2:26" ht="16.5" customHeight="1" x14ac:dyDescent="0.25"/>
    <row r="2" spans="2:26" ht="18.75" customHeight="1" thickBot="1" x14ac:dyDescent="0.3">
      <c r="B2" s="11" t="s">
        <v>32</v>
      </c>
      <c r="D2" s="14" t="s">
        <v>163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2:26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2:26" x14ac:dyDescent="0.25">
      <c r="B4" s="53"/>
      <c r="D4" s="54"/>
      <c r="E4" s="171" t="s">
        <v>54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</row>
    <row r="5" spans="2:26" ht="15" thickBot="1" x14ac:dyDescent="0.3">
      <c r="B5" s="53"/>
      <c r="D5" s="23"/>
      <c r="E5" s="17" t="s">
        <v>6</v>
      </c>
      <c r="F5" s="17" t="s">
        <v>21</v>
      </c>
      <c r="G5" s="17" t="s">
        <v>3</v>
      </c>
      <c r="H5" s="17" t="s">
        <v>22</v>
      </c>
      <c r="I5" s="17" t="s">
        <v>23</v>
      </c>
      <c r="J5" s="17" t="s">
        <v>4</v>
      </c>
      <c r="K5" s="17" t="s">
        <v>24</v>
      </c>
      <c r="L5" s="17" t="s">
        <v>25</v>
      </c>
      <c r="M5" s="17" t="s">
        <v>26</v>
      </c>
      <c r="N5" s="17" t="s">
        <v>14</v>
      </c>
      <c r="O5" s="17" t="s">
        <v>27</v>
      </c>
      <c r="P5" s="17" t="s">
        <v>28</v>
      </c>
      <c r="Q5" s="17" t="s">
        <v>29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7" t="s">
        <v>190</v>
      </c>
      <c r="X5" s="17" t="s">
        <v>215</v>
      </c>
      <c r="Y5" s="18" t="s">
        <v>219</v>
      </c>
      <c r="Z5" s="55" t="s">
        <v>0</v>
      </c>
    </row>
    <row r="6" spans="2:26" x14ac:dyDescent="0.25">
      <c r="B6" s="53"/>
      <c r="D6" s="48" t="s">
        <v>15</v>
      </c>
      <c r="E6" s="45">
        <v>741178</v>
      </c>
      <c r="F6" s="45">
        <v>573625.1777</v>
      </c>
      <c r="G6" s="45">
        <v>761158.29799999995</v>
      </c>
      <c r="H6" s="45">
        <v>377490.58504999999</v>
      </c>
      <c r="I6" s="45">
        <v>567177.75003999996</v>
      </c>
      <c r="J6" s="45">
        <v>754656.36600000004</v>
      </c>
      <c r="K6" s="45">
        <v>178953</v>
      </c>
      <c r="L6" s="45">
        <v>373701</v>
      </c>
      <c r="M6" s="45">
        <v>563300.91514000006</v>
      </c>
      <c r="N6" s="45">
        <v>748100</v>
      </c>
      <c r="O6" s="45">
        <v>181928</v>
      </c>
      <c r="P6" s="45">
        <v>383206</v>
      </c>
      <c r="Q6" s="45">
        <v>579419</v>
      </c>
      <c r="R6" s="56">
        <v>772787</v>
      </c>
      <c r="S6" s="56">
        <v>191528</v>
      </c>
      <c r="T6" s="56">
        <v>396108</v>
      </c>
      <c r="U6" s="56">
        <v>595240</v>
      </c>
      <c r="V6" s="56">
        <v>792684</v>
      </c>
      <c r="W6" s="56">
        <v>195771</v>
      </c>
      <c r="X6" s="56">
        <v>402583.12575000001</v>
      </c>
      <c r="Y6" s="57">
        <v>612487.58698000002</v>
      </c>
      <c r="Z6" s="58">
        <f>+Y6/U6-1</f>
        <v>2.8975853403669038E-2</v>
      </c>
    </row>
    <row r="7" spans="2:26" x14ac:dyDescent="0.25">
      <c r="B7" s="53"/>
      <c r="D7" s="48" t="s">
        <v>36</v>
      </c>
      <c r="E7" s="45">
        <v>100691</v>
      </c>
      <c r="F7" s="45">
        <v>82446.400180000026</v>
      </c>
      <c r="G7" s="45">
        <v>111356.549</v>
      </c>
      <c r="H7" s="45">
        <v>59705.956969999999</v>
      </c>
      <c r="I7" s="45">
        <v>89543.79578</v>
      </c>
      <c r="J7" s="45">
        <v>120653.628</v>
      </c>
      <c r="K7" s="45">
        <v>31764</v>
      </c>
      <c r="L7" s="45">
        <v>64779</v>
      </c>
      <c r="M7" s="45">
        <v>97044.810309999986</v>
      </c>
      <c r="N7" s="45">
        <v>131243</v>
      </c>
      <c r="O7" s="45">
        <v>35256</v>
      </c>
      <c r="P7" s="45">
        <v>71667</v>
      </c>
      <c r="Q7" s="45">
        <v>106896</v>
      </c>
      <c r="R7" s="56">
        <v>143713</v>
      </c>
      <c r="S7" s="56">
        <v>37607</v>
      </c>
      <c r="T7" s="56">
        <v>75283</v>
      </c>
      <c r="U7" s="56">
        <v>111604</v>
      </c>
      <c r="V7" s="56">
        <v>149430</v>
      </c>
      <c r="W7" s="56">
        <v>39270</v>
      </c>
      <c r="X7" s="56">
        <v>78628.05045000001</v>
      </c>
      <c r="Y7" s="57">
        <v>117010.78094000001</v>
      </c>
      <c r="Z7" s="58">
        <f t="shared" ref="Z7:Z10" si="0">+Y7/U7-1</f>
        <v>4.8446121465180569E-2</v>
      </c>
    </row>
    <row r="8" spans="2:26" x14ac:dyDescent="0.25">
      <c r="B8" s="53"/>
      <c r="D8" s="48" t="s">
        <v>37</v>
      </c>
      <c r="E8" s="45">
        <v>7518</v>
      </c>
      <c r="F8" s="45">
        <v>12243.391560000002</v>
      </c>
      <c r="G8" s="45">
        <v>15744</v>
      </c>
      <c r="H8" s="45">
        <v>13257.647209999999</v>
      </c>
      <c r="I8" s="45">
        <v>16876.646899999996</v>
      </c>
      <c r="J8" s="45">
        <v>21826</v>
      </c>
      <c r="K8" s="45">
        <v>12002</v>
      </c>
      <c r="L8" s="45">
        <v>16622</v>
      </c>
      <c r="M8" s="45">
        <v>20912.694649999998</v>
      </c>
      <c r="N8" s="45">
        <v>26449</v>
      </c>
      <c r="O8" s="45">
        <v>13760</v>
      </c>
      <c r="P8" s="45">
        <v>18848</v>
      </c>
      <c r="Q8" s="45">
        <v>23304</v>
      </c>
      <c r="R8" s="56">
        <v>29082</v>
      </c>
      <c r="S8" s="56">
        <v>14335</v>
      </c>
      <c r="T8" s="56">
        <v>19803</v>
      </c>
      <c r="U8" s="56">
        <v>24336</v>
      </c>
      <c r="V8" s="56">
        <v>30384</v>
      </c>
      <c r="W8" s="56">
        <v>15579</v>
      </c>
      <c r="X8" s="56">
        <v>21655.610789999999</v>
      </c>
      <c r="Y8" s="57">
        <v>26772.181279999997</v>
      </c>
      <c r="Z8" s="58">
        <f t="shared" si="0"/>
        <v>0.10010606837606817</v>
      </c>
    </row>
    <row r="9" spans="2:26" ht="15" thickBot="1" x14ac:dyDescent="0.3">
      <c r="B9" s="53"/>
      <c r="D9" s="48" t="s">
        <v>38</v>
      </c>
      <c r="E9" s="45">
        <v>3733</v>
      </c>
      <c r="F9" s="45">
        <v>2922.9176800000005</v>
      </c>
      <c r="G9" s="45">
        <v>3036</v>
      </c>
      <c r="H9" s="45">
        <v>1455.98549</v>
      </c>
      <c r="I9" s="45">
        <v>1458.5712900000001</v>
      </c>
      <c r="J9" s="45">
        <v>1478</v>
      </c>
      <c r="K9" s="45">
        <v>1349</v>
      </c>
      <c r="L9" s="45">
        <v>1363</v>
      </c>
      <c r="M9" s="45">
        <v>1379.12904</v>
      </c>
      <c r="N9" s="45">
        <v>1397</v>
      </c>
      <c r="O9" s="45">
        <v>1061</v>
      </c>
      <c r="P9" s="45">
        <v>1068</v>
      </c>
      <c r="Q9" s="45">
        <v>1082</v>
      </c>
      <c r="R9" s="56">
        <v>1097</v>
      </c>
      <c r="S9" s="56">
        <v>741</v>
      </c>
      <c r="T9" s="56">
        <v>754</v>
      </c>
      <c r="U9" s="56">
        <v>767</v>
      </c>
      <c r="V9" s="56">
        <v>783</v>
      </c>
      <c r="W9" s="56">
        <v>799</v>
      </c>
      <c r="X9" s="56">
        <v>1032.7888899999998</v>
      </c>
      <c r="Y9" s="57">
        <v>1358.5527999999999</v>
      </c>
      <c r="Z9" s="58">
        <f t="shared" si="0"/>
        <v>0.77125528031290735</v>
      </c>
    </row>
    <row r="10" spans="2:26" ht="15" thickBot="1" x14ac:dyDescent="0.3">
      <c r="B10" s="53"/>
      <c r="D10" s="42" t="s">
        <v>1</v>
      </c>
      <c r="E10" s="88">
        <f t="shared" ref="E10:K10" si="1">SUM(E6:E9)</f>
        <v>853120</v>
      </c>
      <c r="F10" s="88">
        <f>SUM(F6:F9)</f>
        <v>671237.88711999997</v>
      </c>
      <c r="G10" s="88">
        <f t="shared" si="1"/>
        <v>891294.84699999995</v>
      </c>
      <c r="H10" s="88">
        <f>SUM(H6:H9)</f>
        <v>451910.17472000001</v>
      </c>
      <c r="I10" s="88">
        <f>SUM(I6:I9)</f>
        <v>675056.76401000004</v>
      </c>
      <c r="J10" s="88">
        <f t="shared" si="1"/>
        <v>898613.99400000006</v>
      </c>
      <c r="K10" s="88">
        <f t="shared" si="1"/>
        <v>224068</v>
      </c>
      <c r="L10" s="88">
        <f t="shared" ref="L10:Y10" si="2">SUM(L6:L9)</f>
        <v>456465</v>
      </c>
      <c r="M10" s="88">
        <f t="shared" si="2"/>
        <v>682637.54914000002</v>
      </c>
      <c r="N10" s="88">
        <f t="shared" si="2"/>
        <v>907189</v>
      </c>
      <c r="O10" s="88">
        <f t="shared" si="2"/>
        <v>232005</v>
      </c>
      <c r="P10" s="88">
        <f t="shared" si="2"/>
        <v>474789</v>
      </c>
      <c r="Q10" s="88">
        <f t="shared" si="2"/>
        <v>710701</v>
      </c>
      <c r="R10" s="59">
        <f t="shared" si="2"/>
        <v>946679</v>
      </c>
      <c r="S10" s="59">
        <f t="shared" si="2"/>
        <v>244211</v>
      </c>
      <c r="T10" s="59">
        <f t="shared" si="2"/>
        <v>491948</v>
      </c>
      <c r="U10" s="59">
        <f t="shared" si="2"/>
        <v>731947</v>
      </c>
      <c r="V10" s="59">
        <f t="shared" si="2"/>
        <v>973281</v>
      </c>
      <c r="W10" s="59">
        <f t="shared" si="2"/>
        <v>251419</v>
      </c>
      <c r="X10" s="59">
        <f t="shared" si="2"/>
        <v>503899.57588000002</v>
      </c>
      <c r="Y10" s="60">
        <f t="shared" si="2"/>
        <v>757629.10199999996</v>
      </c>
      <c r="Z10" s="61">
        <f t="shared" si="0"/>
        <v>3.5087379277461306E-2</v>
      </c>
    </row>
    <row r="11" spans="2:26" x14ac:dyDescent="0.25">
      <c r="B11" s="53"/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  <c r="U11" s="64"/>
      <c r="V11" s="64"/>
      <c r="W11" s="64"/>
      <c r="X11" s="64"/>
      <c r="Y11" s="64"/>
    </row>
    <row r="13" spans="2:26" x14ac:dyDescent="0.25">
      <c r="D13" s="54"/>
      <c r="E13" s="171" t="s">
        <v>218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</row>
    <row r="14" spans="2:26" ht="15" thickBot="1" x14ac:dyDescent="0.3">
      <c r="D14" s="23"/>
      <c r="E14" s="17" t="s">
        <v>6</v>
      </c>
      <c r="F14" s="17" t="s">
        <v>21</v>
      </c>
      <c r="G14" s="17" t="s">
        <v>3</v>
      </c>
      <c r="H14" s="17" t="s">
        <v>22</v>
      </c>
      <c r="I14" s="17" t="s">
        <v>23</v>
      </c>
      <c r="J14" s="17" t="s">
        <v>4</v>
      </c>
      <c r="K14" s="17" t="s">
        <v>24</v>
      </c>
      <c r="L14" s="17" t="s">
        <v>25</v>
      </c>
      <c r="M14" s="17" t="s">
        <v>26</v>
      </c>
      <c r="N14" s="17" t="s">
        <v>14</v>
      </c>
      <c r="O14" s="17" t="s">
        <v>27</v>
      </c>
      <c r="P14" s="17" t="s">
        <v>28</v>
      </c>
      <c r="Q14" s="17" t="s">
        <v>29</v>
      </c>
      <c r="R14" s="17" t="s">
        <v>16</v>
      </c>
      <c r="S14" s="17" t="s">
        <v>17</v>
      </c>
      <c r="T14" s="17" t="s">
        <v>18</v>
      </c>
      <c r="U14" s="17" t="s">
        <v>19</v>
      </c>
      <c r="V14" s="17" t="s">
        <v>20</v>
      </c>
      <c r="W14" s="17" t="s">
        <v>190</v>
      </c>
      <c r="X14" s="17" t="s">
        <v>215</v>
      </c>
      <c r="Y14" s="18" t="s">
        <v>219</v>
      </c>
      <c r="Z14" s="65" t="s">
        <v>0</v>
      </c>
    </row>
    <row r="15" spans="2:26" x14ac:dyDescent="0.25">
      <c r="D15" s="48" t="s">
        <v>15</v>
      </c>
      <c r="E15" s="56">
        <v>2335568</v>
      </c>
      <c r="F15" s="56">
        <v>2409480</v>
      </c>
      <c r="G15" s="56">
        <v>2419544</v>
      </c>
      <c r="H15" s="56">
        <v>2442090</v>
      </c>
      <c r="I15" s="56">
        <v>2448899</v>
      </c>
      <c r="J15" s="56">
        <v>2463171</v>
      </c>
      <c r="K15" s="56">
        <v>2487045</v>
      </c>
      <c r="L15" s="56">
        <v>2516306</v>
      </c>
      <c r="M15" s="56">
        <v>2527177</v>
      </c>
      <c r="N15" s="56">
        <v>2528077</v>
      </c>
      <c r="O15" s="56">
        <v>2556003</v>
      </c>
      <c r="P15" s="56">
        <v>2581395</v>
      </c>
      <c r="Q15" s="56">
        <v>2588594</v>
      </c>
      <c r="R15" s="56">
        <v>2597196</v>
      </c>
      <c r="S15" s="56">
        <v>2604274</v>
      </c>
      <c r="T15" s="56">
        <v>2561562</v>
      </c>
      <c r="U15" s="56">
        <v>2512048</v>
      </c>
      <c r="V15" s="56">
        <v>2471102</v>
      </c>
      <c r="W15" s="56">
        <v>2459266</v>
      </c>
      <c r="X15" s="56">
        <v>2464589</v>
      </c>
      <c r="Y15" s="57">
        <v>2484431</v>
      </c>
      <c r="Z15" s="58">
        <f>+Y15/U15-1</f>
        <v>-1.0993818589453697E-2</v>
      </c>
    </row>
    <row r="16" spans="2:26" x14ac:dyDescent="0.25">
      <c r="D16" s="48" t="s">
        <v>36</v>
      </c>
      <c r="E16" s="56">
        <v>568157</v>
      </c>
      <c r="F16" s="56">
        <v>607338</v>
      </c>
      <c r="G16" s="56">
        <v>622912</v>
      </c>
      <c r="H16" s="56">
        <v>642554</v>
      </c>
      <c r="I16" s="56">
        <v>651127</v>
      </c>
      <c r="J16" s="56">
        <v>662393</v>
      </c>
      <c r="K16" s="56">
        <v>676986</v>
      </c>
      <c r="L16" s="56">
        <v>688148</v>
      </c>
      <c r="M16" s="56">
        <v>698310</v>
      </c>
      <c r="N16" s="56">
        <v>712052</v>
      </c>
      <c r="O16" s="56">
        <v>725946</v>
      </c>
      <c r="P16" s="56">
        <v>737723</v>
      </c>
      <c r="Q16" s="56">
        <v>745523</v>
      </c>
      <c r="R16" s="56">
        <v>752170</v>
      </c>
      <c r="S16" s="56">
        <v>756659</v>
      </c>
      <c r="T16" s="56">
        <v>746476</v>
      </c>
      <c r="U16" s="56">
        <v>733763</v>
      </c>
      <c r="V16" s="56">
        <v>726654</v>
      </c>
      <c r="W16" s="56">
        <v>726800</v>
      </c>
      <c r="X16" s="56">
        <v>728613</v>
      </c>
      <c r="Y16" s="57">
        <v>731544</v>
      </c>
      <c r="Z16" s="58">
        <f t="shared" ref="Z16:Z19" si="3">+Y16/U16-1</f>
        <v>-3.0241372214189211E-3</v>
      </c>
    </row>
    <row r="17" spans="4:26" x14ac:dyDescent="0.25">
      <c r="D17" s="48" t="s">
        <v>37</v>
      </c>
      <c r="E17" s="56">
        <v>32947</v>
      </c>
      <c r="F17" s="56">
        <v>57371</v>
      </c>
      <c r="G17" s="56">
        <v>69460</v>
      </c>
      <c r="H17" s="56">
        <v>75135</v>
      </c>
      <c r="I17" s="56">
        <v>79631</v>
      </c>
      <c r="J17" s="56">
        <v>89163</v>
      </c>
      <c r="K17" s="56">
        <v>92099</v>
      </c>
      <c r="L17" s="56">
        <v>95998</v>
      </c>
      <c r="M17" s="56">
        <v>98498</v>
      </c>
      <c r="N17" s="56">
        <v>104753</v>
      </c>
      <c r="O17" s="56">
        <v>105202</v>
      </c>
      <c r="P17" s="56">
        <v>106289</v>
      </c>
      <c r="Q17" s="56">
        <v>106063</v>
      </c>
      <c r="R17" s="56">
        <v>109576</v>
      </c>
      <c r="S17" s="56">
        <v>106197</v>
      </c>
      <c r="T17" s="56">
        <v>107956</v>
      </c>
      <c r="U17" s="56">
        <v>110459</v>
      </c>
      <c r="V17" s="56">
        <v>117354</v>
      </c>
      <c r="W17" s="56">
        <v>117567</v>
      </c>
      <c r="X17" s="56">
        <v>117014</v>
      </c>
      <c r="Y17" s="57">
        <v>117503</v>
      </c>
      <c r="Z17" s="58">
        <f t="shared" si="3"/>
        <v>6.3770267701138028E-2</v>
      </c>
    </row>
    <row r="18" spans="4:26" ht="15" thickBot="1" x14ac:dyDescent="0.3">
      <c r="D18" s="48" t="s">
        <v>38</v>
      </c>
      <c r="E18" s="56">
        <v>87219</v>
      </c>
      <c r="F18" s="56">
        <v>77221</v>
      </c>
      <c r="G18" s="56">
        <v>58952</v>
      </c>
      <c r="H18" s="56">
        <v>24870</v>
      </c>
      <c r="I18" s="56">
        <v>13140</v>
      </c>
      <c r="J18" s="56">
        <v>9276</v>
      </c>
      <c r="K18" s="56">
        <v>6865</v>
      </c>
      <c r="L18" s="56">
        <v>5172</v>
      </c>
      <c r="M18" s="56">
        <v>4971</v>
      </c>
      <c r="N18" s="56">
        <v>4756</v>
      </c>
      <c r="O18" s="56">
        <v>4539</v>
      </c>
      <c r="P18" s="56">
        <v>4333</v>
      </c>
      <c r="Q18" s="56">
        <v>4229</v>
      </c>
      <c r="R18" s="56">
        <v>4034</v>
      </c>
      <c r="S18" s="56">
        <v>3880</v>
      </c>
      <c r="T18" s="56">
        <v>3713</v>
      </c>
      <c r="U18" s="56">
        <v>3606</v>
      </c>
      <c r="V18" s="56">
        <v>3494</v>
      </c>
      <c r="W18" s="56">
        <v>12284</v>
      </c>
      <c r="X18" s="56">
        <v>27663</v>
      </c>
      <c r="Y18" s="57">
        <v>43872</v>
      </c>
      <c r="Z18" s="58">
        <f t="shared" si="3"/>
        <v>11.166389351081531</v>
      </c>
    </row>
    <row r="19" spans="4:26" ht="15" thickBot="1" x14ac:dyDescent="0.3">
      <c r="D19" s="42" t="s">
        <v>1</v>
      </c>
      <c r="E19" s="59">
        <f t="shared" ref="E19" si="4">SUM(E15:E18)</f>
        <v>3023891</v>
      </c>
      <c r="F19" s="59">
        <f>SUM(F15:F18)</f>
        <v>3151410</v>
      </c>
      <c r="G19" s="59">
        <f t="shared" ref="G19" si="5">SUM(G15:G18)</f>
        <v>3170868</v>
      </c>
      <c r="H19" s="59">
        <f>SUM(H15:H18)</f>
        <v>3184649</v>
      </c>
      <c r="I19" s="59">
        <f>SUM(I15:I18)</f>
        <v>3192797</v>
      </c>
      <c r="J19" s="59">
        <f t="shared" ref="J19:Y19" si="6">SUM(J15:J18)</f>
        <v>3224003</v>
      </c>
      <c r="K19" s="59">
        <f t="shared" si="6"/>
        <v>3262995</v>
      </c>
      <c r="L19" s="59">
        <f t="shared" si="6"/>
        <v>3305624</v>
      </c>
      <c r="M19" s="59">
        <f t="shared" si="6"/>
        <v>3328956</v>
      </c>
      <c r="N19" s="59">
        <f t="shared" si="6"/>
        <v>3349638</v>
      </c>
      <c r="O19" s="59">
        <f t="shared" si="6"/>
        <v>3391690</v>
      </c>
      <c r="P19" s="59">
        <f t="shared" si="6"/>
        <v>3429740</v>
      </c>
      <c r="Q19" s="59">
        <f t="shared" si="6"/>
        <v>3444409</v>
      </c>
      <c r="R19" s="59">
        <f t="shared" si="6"/>
        <v>3462976</v>
      </c>
      <c r="S19" s="59">
        <f t="shared" si="6"/>
        <v>3471010</v>
      </c>
      <c r="T19" s="59">
        <f t="shared" si="6"/>
        <v>3419707</v>
      </c>
      <c r="U19" s="59">
        <f t="shared" si="6"/>
        <v>3359876</v>
      </c>
      <c r="V19" s="59">
        <f t="shared" si="6"/>
        <v>3318604</v>
      </c>
      <c r="W19" s="59">
        <f t="shared" si="6"/>
        <v>3315917</v>
      </c>
      <c r="X19" s="59">
        <f t="shared" si="6"/>
        <v>3337879</v>
      </c>
      <c r="Y19" s="60">
        <f t="shared" si="6"/>
        <v>3377350</v>
      </c>
      <c r="Z19" s="61">
        <f t="shared" si="3"/>
        <v>5.2007871719075283E-3</v>
      </c>
    </row>
    <row r="22" spans="4:26" x14ac:dyDescent="0.25">
      <c r="D22" s="54"/>
      <c r="E22" s="171" t="s">
        <v>56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</row>
    <row r="23" spans="4:26" ht="15" thickBot="1" x14ac:dyDescent="0.3">
      <c r="D23" s="23"/>
      <c r="E23" s="17" t="s">
        <v>6</v>
      </c>
      <c r="F23" s="17" t="s">
        <v>21</v>
      </c>
      <c r="G23" s="17" t="s">
        <v>3</v>
      </c>
      <c r="H23" s="17" t="s">
        <v>22</v>
      </c>
      <c r="I23" s="17" t="s">
        <v>23</v>
      </c>
      <c r="J23" s="17" t="s">
        <v>4</v>
      </c>
      <c r="K23" s="17" t="s">
        <v>24</v>
      </c>
      <c r="L23" s="17" t="s">
        <v>25</v>
      </c>
      <c r="M23" s="17" t="s">
        <v>26</v>
      </c>
      <c r="N23" s="17" t="s">
        <v>14</v>
      </c>
      <c r="O23" s="17" t="s">
        <v>27</v>
      </c>
      <c r="P23" s="17" t="s">
        <v>28</v>
      </c>
      <c r="Q23" s="17" t="s">
        <v>29</v>
      </c>
      <c r="R23" s="17" t="s">
        <v>16</v>
      </c>
      <c r="S23" s="17" t="s">
        <v>17</v>
      </c>
      <c r="T23" s="17" t="s">
        <v>18</v>
      </c>
      <c r="U23" s="17" t="s">
        <v>19</v>
      </c>
      <c r="V23" s="17" t="s">
        <v>20</v>
      </c>
      <c r="W23" s="17" t="s">
        <v>190</v>
      </c>
      <c r="X23" s="17" t="s">
        <v>215</v>
      </c>
      <c r="Y23" s="18" t="s">
        <v>219</v>
      </c>
      <c r="Z23" s="65" t="s">
        <v>0</v>
      </c>
    </row>
    <row r="24" spans="4:26" x14ac:dyDescent="0.25">
      <c r="D24" s="48" t="s">
        <v>15</v>
      </c>
      <c r="E24" s="45">
        <v>114974</v>
      </c>
      <c r="F24" s="45">
        <v>77269.079859267789</v>
      </c>
      <c r="G24" s="45">
        <v>106533</v>
      </c>
      <c r="H24" s="45">
        <v>58351</v>
      </c>
      <c r="I24" s="45">
        <v>108794.48834439731</v>
      </c>
      <c r="J24" s="45">
        <v>146481</v>
      </c>
      <c r="K24" s="45">
        <v>31111</v>
      </c>
      <c r="L24" s="45">
        <v>60590</v>
      </c>
      <c r="M24" s="45">
        <v>85631.862512646418</v>
      </c>
      <c r="N24" s="45">
        <v>96993</v>
      </c>
      <c r="O24" s="45">
        <v>21431</v>
      </c>
      <c r="P24" s="45">
        <v>39705</v>
      </c>
      <c r="Q24" s="45">
        <v>45364</v>
      </c>
      <c r="R24" s="56">
        <v>34655</v>
      </c>
      <c r="S24" s="56">
        <v>-15052</v>
      </c>
      <c r="T24" s="56">
        <v>-37683</v>
      </c>
      <c r="U24" s="56">
        <v>-43319</v>
      </c>
      <c r="V24" s="56">
        <v>-43060</v>
      </c>
      <c r="W24" s="56">
        <v>4502</v>
      </c>
      <c r="X24" s="56">
        <v>11216.379076651603</v>
      </c>
      <c r="Y24" s="57">
        <v>19037.784640010708</v>
      </c>
      <c r="Z24" s="58" t="s">
        <v>192</v>
      </c>
    </row>
    <row r="25" spans="4:26" x14ac:dyDescent="0.25">
      <c r="D25" s="48" t="s">
        <v>36</v>
      </c>
      <c r="E25" s="45">
        <v>8694</v>
      </c>
      <c r="F25" s="45">
        <v>8624.6461006365007</v>
      </c>
      <c r="G25" s="45">
        <v>12347</v>
      </c>
      <c r="H25" s="45">
        <v>6097</v>
      </c>
      <c r="I25" s="45">
        <v>5427.218407247964</v>
      </c>
      <c r="J25" s="45">
        <v>6684</v>
      </c>
      <c r="K25" s="45">
        <v>500</v>
      </c>
      <c r="L25" s="45">
        <v>5090</v>
      </c>
      <c r="M25" s="45">
        <v>8590.3283707111441</v>
      </c>
      <c r="N25" s="45">
        <v>13171</v>
      </c>
      <c r="O25" s="45">
        <v>2338</v>
      </c>
      <c r="P25" s="45">
        <v>6312</v>
      </c>
      <c r="Q25" s="45">
        <v>6339</v>
      </c>
      <c r="R25" s="56">
        <v>5729</v>
      </c>
      <c r="S25" s="56">
        <v>529</v>
      </c>
      <c r="T25" s="56">
        <v>2787</v>
      </c>
      <c r="U25" s="56">
        <v>2394</v>
      </c>
      <c r="V25" s="56">
        <v>2780</v>
      </c>
      <c r="W25" s="56">
        <v>854</v>
      </c>
      <c r="X25" s="56">
        <v>8911.8373657743796</v>
      </c>
      <c r="Y25" s="57">
        <v>12379.846439535992</v>
      </c>
      <c r="Z25" s="58">
        <f t="shared" ref="Z25:Z27" si="7">+Y25/U25-1</f>
        <v>4.1711973431645744</v>
      </c>
    </row>
    <row r="26" spans="4:26" x14ac:dyDescent="0.25">
      <c r="D26" s="48" t="s">
        <v>37</v>
      </c>
      <c r="E26" s="45">
        <v>-7042</v>
      </c>
      <c r="F26" s="45">
        <v>-6229.9020976889951</v>
      </c>
      <c r="G26" s="45">
        <v>-16346</v>
      </c>
      <c r="H26" s="45">
        <v>-2658</v>
      </c>
      <c r="I26" s="45">
        <v>-5037.0967525568076</v>
      </c>
      <c r="J26" s="45">
        <v>-7890</v>
      </c>
      <c r="K26" s="45">
        <v>-161</v>
      </c>
      <c r="L26" s="45">
        <v>-3006</v>
      </c>
      <c r="M26" s="45">
        <v>-5209.2778021447957</v>
      </c>
      <c r="N26" s="45">
        <v>-7210</v>
      </c>
      <c r="O26" s="45">
        <v>75</v>
      </c>
      <c r="P26" s="45">
        <v>-2371</v>
      </c>
      <c r="Q26" s="45">
        <v>-4704</v>
      </c>
      <c r="R26" s="56">
        <v>-7386</v>
      </c>
      <c r="S26" s="56">
        <v>-2386</v>
      </c>
      <c r="T26" s="56">
        <v>-4659</v>
      </c>
      <c r="U26" s="56">
        <v>-7113</v>
      </c>
      <c r="V26" s="56">
        <v>-10990</v>
      </c>
      <c r="W26" s="56">
        <v>-1761</v>
      </c>
      <c r="X26" s="56">
        <v>-3548.2817869542159</v>
      </c>
      <c r="Y26" s="57">
        <v>-5370.0579507839957</v>
      </c>
      <c r="Z26" s="58">
        <f t="shared" si="7"/>
        <v>-0.24503613794685852</v>
      </c>
    </row>
    <row r="27" spans="4:26" ht="15" thickBot="1" x14ac:dyDescent="0.3">
      <c r="D27" s="48" t="s">
        <v>38</v>
      </c>
      <c r="E27" s="45">
        <v>1186</v>
      </c>
      <c r="F27" s="45">
        <v>1003.9744355210007</v>
      </c>
      <c r="G27" s="45">
        <v>1116</v>
      </c>
      <c r="H27" s="45">
        <v>248</v>
      </c>
      <c r="I27" s="45">
        <v>379.24984877120119</v>
      </c>
      <c r="J27" s="45">
        <v>664</v>
      </c>
      <c r="K27" s="45">
        <v>94</v>
      </c>
      <c r="L27" s="45">
        <v>465</v>
      </c>
      <c r="M27" s="45">
        <v>596.55913451119875</v>
      </c>
      <c r="N27" s="45">
        <v>681</v>
      </c>
      <c r="O27" s="45">
        <v>264</v>
      </c>
      <c r="P27" s="45">
        <v>405</v>
      </c>
      <c r="Q27" s="45">
        <v>448</v>
      </c>
      <c r="R27" s="56">
        <v>352</v>
      </c>
      <c r="S27" s="56">
        <v>103</v>
      </c>
      <c r="T27" s="56">
        <v>175</v>
      </c>
      <c r="U27" s="56">
        <v>231</v>
      </c>
      <c r="V27" s="56">
        <v>238</v>
      </c>
      <c r="W27" s="56">
        <v>-59</v>
      </c>
      <c r="X27" s="56">
        <v>-68.039621806400248</v>
      </c>
      <c r="Y27" s="57">
        <v>-75.776652496000594</v>
      </c>
      <c r="Z27" s="58">
        <f t="shared" si="7"/>
        <v>-1.3280374566926434</v>
      </c>
    </row>
    <row r="28" spans="4:26" ht="15" thickBot="1" x14ac:dyDescent="0.3">
      <c r="D28" s="42" t="s">
        <v>1</v>
      </c>
      <c r="E28" s="88">
        <f t="shared" ref="E28:K28" si="8">SUM(E24:E27)</f>
        <v>117812</v>
      </c>
      <c r="F28" s="88">
        <f>SUM(F24:F27)</f>
        <v>80667.798297736299</v>
      </c>
      <c r="G28" s="88">
        <f t="shared" si="8"/>
        <v>103650</v>
      </c>
      <c r="H28" s="88">
        <f>SUM(H24:H27)</f>
        <v>62038</v>
      </c>
      <c r="I28" s="88">
        <f>SUM(I24:I27)</f>
        <v>109563.85984785965</v>
      </c>
      <c r="J28" s="88">
        <f t="shared" si="8"/>
        <v>145939</v>
      </c>
      <c r="K28" s="88">
        <f t="shared" si="8"/>
        <v>31544</v>
      </c>
      <c r="L28" s="88">
        <f t="shared" ref="L28:Y28" si="9">SUM(L24:L27)</f>
        <v>63139</v>
      </c>
      <c r="M28" s="88">
        <f t="shared" si="9"/>
        <v>89609.472215723959</v>
      </c>
      <c r="N28" s="88">
        <f t="shared" si="9"/>
        <v>103635</v>
      </c>
      <c r="O28" s="88">
        <f t="shared" si="9"/>
        <v>24108</v>
      </c>
      <c r="P28" s="59">
        <f t="shared" si="9"/>
        <v>44051</v>
      </c>
      <c r="Q28" s="88">
        <f t="shared" si="9"/>
        <v>47447</v>
      </c>
      <c r="R28" s="59">
        <f t="shared" si="9"/>
        <v>33350</v>
      </c>
      <c r="S28" s="59">
        <f t="shared" si="9"/>
        <v>-16806</v>
      </c>
      <c r="T28" s="59">
        <f t="shared" si="9"/>
        <v>-39380</v>
      </c>
      <c r="U28" s="59">
        <f t="shared" si="9"/>
        <v>-47807</v>
      </c>
      <c r="V28" s="59">
        <f t="shared" si="9"/>
        <v>-51032</v>
      </c>
      <c r="W28" s="59">
        <f t="shared" si="9"/>
        <v>3536</v>
      </c>
      <c r="X28" s="59">
        <f t="shared" si="9"/>
        <v>16511.895033665365</v>
      </c>
      <c r="Y28" s="60">
        <f t="shared" si="9"/>
        <v>25971.796476266707</v>
      </c>
      <c r="Z28" s="61" t="s">
        <v>192</v>
      </c>
    </row>
    <row r="31" spans="4:26" x14ac:dyDescent="0.25">
      <c r="D31" s="54"/>
      <c r="E31" s="171" t="s">
        <v>55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</row>
    <row r="32" spans="4:26" ht="15" thickBot="1" x14ac:dyDescent="0.3">
      <c r="D32" s="23"/>
      <c r="E32" s="17" t="s">
        <v>6</v>
      </c>
      <c r="F32" s="17" t="s">
        <v>21</v>
      </c>
      <c r="G32" s="17" t="s">
        <v>3</v>
      </c>
      <c r="H32" s="17" t="s">
        <v>22</v>
      </c>
      <c r="I32" s="17" t="s">
        <v>23</v>
      </c>
      <c r="J32" s="17" t="s">
        <v>4</v>
      </c>
      <c r="K32" s="17" t="s">
        <v>24</v>
      </c>
      <c r="L32" s="17" t="s">
        <v>25</v>
      </c>
      <c r="M32" s="17" t="s">
        <v>26</v>
      </c>
      <c r="N32" s="17" t="s">
        <v>14</v>
      </c>
      <c r="O32" s="17" t="s">
        <v>27</v>
      </c>
      <c r="P32" s="17" t="s">
        <v>28</v>
      </c>
      <c r="Q32" s="17" t="s">
        <v>29</v>
      </c>
      <c r="R32" s="17" t="s">
        <v>16</v>
      </c>
      <c r="S32" s="17" t="s">
        <v>17</v>
      </c>
      <c r="T32" s="17" t="s">
        <v>18</v>
      </c>
      <c r="U32" s="17" t="s">
        <v>19</v>
      </c>
      <c r="V32" s="17" t="s">
        <v>20</v>
      </c>
      <c r="W32" s="17" t="s">
        <v>190</v>
      </c>
      <c r="X32" s="17" t="s">
        <v>215</v>
      </c>
      <c r="Y32" s="18" t="s">
        <v>219</v>
      </c>
      <c r="Z32" s="66" t="s">
        <v>13</v>
      </c>
    </row>
    <row r="33" spans="4:26" x14ac:dyDescent="0.25">
      <c r="D33" s="48" t="s">
        <v>15</v>
      </c>
      <c r="E33" s="67">
        <v>0.83998519180371911</v>
      </c>
      <c r="F33" s="67">
        <v>0.86158632267781621</v>
      </c>
      <c r="G33" s="67">
        <v>0.85763501441249534</v>
      </c>
      <c r="H33" s="67">
        <v>0.84404485621970904</v>
      </c>
      <c r="I33" s="67">
        <v>0.80661844089481582</v>
      </c>
      <c r="J33" s="67">
        <v>0.80536802173783062</v>
      </c>
      <c r="K33" s="67">
        <v>0.83116221798944634</v>
      </c>
      <c r="L33" s="67">
        <v>0.83659919203033395</v>
      </c>
      <c r="M33" s="67">
        <v>0.84690835828096978</v>
      </c>
      <c r="N33" s="67">
        <v>0.87021020482720701</v>
      </c>
      <c r="O33" s="67">
        <v>0.88320280779774274</v>
      </c>
      <c r="P33" s="67">
        <v>0.89279668224564013</v>
      </c>
      <c r="Q33" s="67">
        <v>0.91914849628750372</v>
      </c>
      <c r="R33" s="67">
        <v>0.95399440843884997</v>
      </c>
      <c r="S33" s="67">
        <v>1.0792177171487516</v>
      </c>
      <c r="T33" s="67">
        <v>1.098209282748807</v>
      </c>
      <c r="U33" s="67">
        <v>1.074650863019742</v>
      </c>
      <c r="V33" s="67">
        <v>1.0553623190785402</v>
      </c>
      <c r="W33" s="67">
        <v>0.97701212661917558</v>
      </c>
      <c r="X33" s="67">
        <v>0.97143058229778867</v>
      </c>
      <c r="Y33" s="68">
        <v>0.96796355605991458</v>
      </c>
      <c r="Z33" s="69">
        <f>(Y33-U33)*100</f>
        <v>-10.668730695982742</v>
      </c>
    </row>
    <row r="34" spans="4:26" x14ac:dyDescent="0.25">
      <c r="D34" s="48" t="s">
        <v>36</v>
      </c>
      <c r="E34" s="67">
        <v>0.90591520031166817</v>
      </c>
      <c r="F34" s="67">
        <v>0.88654844417606182</v>
      </c>
      <c r="G34" s="67">
        <v>0.87972920319501269</v>
      </c>
      <c r="H34" s="67">
        <v>0.88768668779024995</v>
      </c>
      <c r="I34" s="67">
        <v>0.93426737590583953</v>
      </c>
      <c r="J34" s="67">
        <v>0.94007853262331231</v>
      </c>
      <c r="K34" s="67">
        <v>0.98259656541624618</v>
      </c>
      <c r="L34" s="67">
        <v>0.91249183371729181</v>
      </c>
      <c r="M34" s="67">
        <v>0.90270149047864323</v>
      </c>
      <c r="N34" s="67">
        <v>0.88937857458516889</v>
      </c>
      <c r="O34" s="67">
        <v>0.92431697526867795</v>
      </c>
      <c r="P34" s="67">
        <v>0.89984290950635504</v>
      </c>
      <c r="Q34" s="67">
        <v>0.93413478522890214</v>
      </c>
      <c r="R34" s="67">
        <v>0.95586252590543841</v>
      </c>
      <c r="S34" s="67">
        <v>0.98463683094705656</v>
      </c>
      <c r="T34" s="67">
        <v>0.96009507309460063</v>
      </c>
      <c r="U34" s="67">
        <v>0.97736298649721998</v>
      </c>
      <c r="V34" s="67">
        <v>0.98041877476730577</v>
      </c>
      <c r="W34" s="67">
        <v>0.97628447053865774</v>
      </c>
      <c r="X34" s="67">
        <v>0.87768589846109724</v>
      </c>
      <c r="Y34" s="68">
        <v>0.88810897371036679</v>
      </c>
      <c r="Z34" s="69">
        <f t="shared" ref="Z34:Z37" si="10">(Y34-U34)*100</f>
        <v>-8.9254012786853192</v>
      </c>
    </row>
    <row r="35" spans="4:26" x14ac:dyDescent="0.25">
      <c r="D35" s="48" t="s">
        <v>37</v>
      </c>
      <c r="E35" s="67">
        <v>4.2799254774103401</v>
      </c>
      <c r="F35" s="67">
        <v>2.3088475175085561</v>
      </c>
      <c r="G35" s="67">
        <v>22.852941176470587</v>
      </c>
      <c r="H35" s="67">
        <v>1.5441852187619376</v>
      </c>
      <c r="I35" s="67">
        <v>1.6647337419040928</v>
      </c>
      <c r="J35" s="67">
        <v>1.656405990016639</v>
      </c>
      <c r="K35" s="67">
        <v>1.0528599565326944</v>
      </c>
      <c r="L35" s="67">
        <v>1.4739829706717125</v>
      </c>
      <c r="M35" s="67">
        <v>1.5282904972535181</v>
      </c>
      <c r="N35" s="67">
        <v>1.4811908131874167</v>
      </c>
      <c r="O35" s="67">
        <v>0.98002131060202446</v>
      </c>
      <c r="P35" s="67">
        <v>1.3115637319316689</v>
      </c>
      <c r="Q35" s="67">
        <v>1.40635798203179</v>
      </c>
      <c r="R35" s="67">
        <v>1.4475007573462586</v>
      </c>
      <c r="S35" s="67">
        <v>1.5962018990504747</v>
      </c>
      <c r="T35" s="67">
        <v>1.5778963036467377</v>
      </c>
      <c r="U35" s="67">
        <v>1.5828416912487708</v>
      </c>
      <c r="V35" s="67">
        <v>1.6823822578171637</v>
      </c>
      <c r="W35" s="67">
        <v>1.4075097705999671</v>
      </c>
      <c r="X35" s="67">
        <v>1.4064799436503868</v>
      </c>
      <c r="Y35" s="68">
        <v>1.4046696933917961</v>
      </c>
      <c r="Z35" s="69">
        <f t="shared" si="10"/>
        <v>-17.817199785697468</v>
      </c>
    </row>
    <row r="36" spans="4:26" ht="15" thickBot="1" x14ac:dyDescent="0.3">
      <c r="D36" s="48" t="s">
        <v>38</v>
      </c>
      <c r="E36" s="67">
        <v>0.63110419906687398</v>
      </c>
      <c r="F36" s="67">
        <v>0.56801466267811263</v>
      </c>
      <c r="G36" s="67">
        <v>0.63316912972085382</v>
      </c>
      <c r="H36" s="67">
        <v>0.76975401576572056</v>
      </c>
      <c r="I36" s="67">
        <v>0.7462364568024481</v>
      </c>
      <c r="J36" s="67">
        <v>0.66899302093718838</v>
      </c>
      <c r="K36" s="67">
        <v>0.71274124047723175</v>
      </c>
      <c r="L36" s="67">
        <v>0.31556677519061266</v>
      </c>
      <c r="M36" s="67">
        <v>0.42239009208261347</v>
      </c>
      <c r="N36" s="67">
        <v>0.50931268712671374</v>
      </c>
      <c r="O36" s="67">
        <v>0.45114345114345117</v>
      </c>
      <c r="P36" s="67">
        <v>0.45047489823609227</v>
      </c>
      <c r="Q36" s="67">
        <v>0.50277469478357384</v>
      </c>
      <c r="R36" s="67">
        <v>0.66948356807511733</v>
      </c>
      <c r="S36" s="67">
        <v>0.55982905982905984</v>
      </c>
      <c r="T36" s="67">
        <v>0.57530000000000003</v>
      </c>
      <c r="U36" s="67">
        <v>0.60980000000000001</v>
      </c>
      <c r="V36" s="67">
        <v>0.69196848381218068</v>
      </c>
      <c r="W36" s="67">
        <v>1.3105082078877708</v>
      </c>
      <c r="X36" s="67">
        <v>1.1635585052708013</v>
      </c>
      <c r="Y36" s="68">
        <v>1.1061154086099845</v>
      </c>
      <c r="Z36" s="69">
        <f t="shared" si="10"/>
        <v>49.631540860998449</v>
      </c>
    </row>
    <row r="37" spans="4:26" ht="15" thickBot="1" x14ac:dyDescent="0.3">
      <c r="D37" s="42" t="s">
        <v>1</v>
      </c>
      <c r="E37" s="70">
        <v>0.85567366459672978</v>
      </c>
      <c r="F37" s="70">
        <v>0.8742222474383905</v>
      </c>
      <c r="G37" s="70">
        <v>0.87873817507095542</v>
      </c>
      <c r="H37" s="70">
        <v>0.85718813439399422</v>
      </c>
      <c r="I37" s="70">
        <v>0.83252928017538141</v>
      </c>
      <c r="J37" s="70">
        <v>0.833815961930226</v>
      </c>
      <c r="K37" s="70">
        <v>0.85421891600437738</v>
      </c>
      <c r="L37" s="70">
        <v>0.85518345478023727</v>
      </c>
      <c r="M37" s="70">
        <v>0.8639254442274602</v>
      </c>
      <c r="N37" s="70">
        <v>0.88259779338749644</v>
      </c>
      <c r="O37" s="70">
        <v>0.88972444834778797</v>
      </c>
      <c r="P37" s="70">
        <v>0.90027821858608814</v>
      </c>
      <c r="Q37" s="70">
        <v>0.92916211926897252</v>
      </c>
      <c r="R37" s="70">
        <v>0.96297106413500522</v>
      </c>
      <c r="S37" s="70">
        <v>1.0734923057412857</v>
      </c>
      <c r="T37" s="70">
        <v>1.0852351433716581</v>
      </c>
      <c r="U37" s="70">
        <v>1.0684090779005209</v>
      </c>
      <c r="V37" s="70">
        <v>1.0544851695810065</v>
      </c>
      <c r="W37" s="70">
        <v>0.9850373673196966</v>
      </c>
      <c r="X37" s="70">
        <v>0.96520929047535531</v>
      </c>
      <c r="Y37" s="71">
        <v>0.96387187657524032</v>
      </c>
      <c r="Z37" s="72">
        <f t="shared" si="10"/>
        <v>-10.453720132528055</v>
      </c>
    </row>
    <row r="38" spans="4:26" x14ac:dyDescent="0.25"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4"/>
      <c r="V38" s="64"/>
      <c r="W38" s="64"/>
      <c r="X38" s="64"/>
      <c r="Y38" s="64"/>
    </row>
    <row r="39" spans="4:26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 t="s">
        <v>47</v>
      </c>
    </row>
  </sheetData>
  <mergeCells count="4">
    <mergeCell ref="E4:Z4"/>
    <mergeCell ref="E22:Z22"/>
    <mergeCell ref="E31:Z31"/>
    <mergeCell ref="E13:Z13"/>
  </mergeCells>
  <hyperlinks>
    <hyperlink ref="B2" location="'Financial Supplement&gt;&gt;&gt;'!A1" display="ÍNDICE" xr:uid="{D9B05F3E-9BA1-4147-95A1-37EE167B81F5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customWidth="1" collapsed="1"/>
    <col min="22" max="22" width="11" style="73" customWidth="1"/>
    <col min="23" max="24" width="11" style="73" hidden="1" customWidth="1" outlineLevel="1"/>
    <col min="25" max="25" width="11" style="73" customWidth="1" collapsed="1"/>
    <col min="26" max="26" width="11" style="73" customWidth="1"/>
    <col min="27" max="27" width="3" style="13" customWidth="1"/>
    <col min="28" max="16384" width="10.85546875" style="73"/>
  </cols>
  <sheetData>
    <row r="1" spans="2:44" ht="16.5" customHeight="1" x14ac:dyDescent="0.2"/>
    <row r="2" spans="2:44" ht="18.75" customHeight="1" thickBot="1" x14ac:dyDescent="0.25">
      <c r="B2" s="11" t="s">
        <v>32</v>
      </c>
      <c r="D2" s="14" t="s">
        <v>164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44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215</v>
      </c>
      <c r="Y4" s="74" t="s">
        <v>219</v>
      </c>
      <c r="Z4" s="75" t="s">
        <v>0</v>
      </c>
      <c r="AA4" s="13"/>
      <c r="AB4" s="47" t="s">
        <v>110</v>
      </c>
      <c r="AC4" s="47" t="s">
        <v>111</v>
      </c>
      <c r="AD4" s="47" t="s">
        <v>112</v>
      </c>
      <c r="AE4" s="47" t="s">
        <v>113</v>
      </c>
      <c r="AF4" s="47" t="s">
        <v>114</v>
      </c>
      <c r="AG4" s="47" t="s">
        <v>115</v>
      </c>
      <c r="AH4" s="47" t="s">
        <v>116</v>
      </c>
      <c r="AI4" s="47" t="s">
        <v>117</v>
      </c>
      <c r="AJ4" s="47" t="s">
        <v>118</v>
      </c>
      <c r="AK4" s="47" t="s">
        <v>119</v>
      </c>
      <c r="AL4" s="47" t="s">
        <v>62</v>
      </c>
      <c r="AM4" s="47" t="s">
        <v>63</v>
      </c>
      <c r="AN4" s="47" t="s">
        <v>64</v>
      </c>
      <c r="AO4" s="47" t="s">
        <v>65</v>
      </c>
      <c r="AP4" s="47" t="s">
        <v>191</v>
      </c>
      <c r="AQ4" s="47" t="s">
        <v>216</v>
      </c>
      <c r="AR4" s="74" t="s">
        <v>220</v>
      </c>
    </row>
    <row r="5" spans="2:44" s="10" customFormat="1" x14ac:dyDescent="0.25">
      <c r="D5" s="33" t="s">
        <v>54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76">
        <v>595240</v>
      </c>
      <c r="V5" s="76">
        <v>792684</v>
      </c>
      <c r="W5" s="76">
        <v>195770.9215</v>
      </c>
      <c r="X5" s="76">
        <v>402583.12575000001</v>
      </c>
      <c r="Y5" s="77">
        <v>612487.58698000002</v>
      </c>
      <c r="Z5" s="78">
        <f>+Y5/U5-1</f>
        <v>2.8975853403669038E-2</v>
      </c>
      <c r="AA5" s="13"/>
      <c r="AB5" s="76">
        <f>I5-H5</f>
        <v>189687.1649899999</v>
      </c>
      <c r="AC5" s="76">
        <f>J5-I5</f>
        <v>187478.61596000008</v>
      </c>
      <c r="AD5" s="76">
        <f t="shared" ref="AD5:AD8" si="0">K5</f>
        <v>178953</v>
      </c>
      <c r="AE5" s="76">
        <f t="shared" ref="AE5:AG9" si="1">L5-K5</f>
        <v>194748</v>
      </c>
      <c r="AF5" s="76">
        <f t="shared" si="1"/>
        <v>189599.91514000006</v>
      </c>
      <c r="AG5" s="76">
        <f t="shared" si="1"/>
        <v>184799.08485999994</v>
      </c>
      <c r="AH5" s="76">
        <f t="shared" ref="AH5:AH8" si="2">O5</f>
        <v>181928</v>
      </c>
      <c r="AI5" s="76">
        <f>P5-O5</f>
        <v>201278</v>
      </c>
      <c r="AJ5" s="76">
        <f>Q5-P5</f>
        <v>196213</v>
      </c>
      <c r="AK5" s="76">
        <f>R5-Q5</f>
        <v>193368</v>
      </c>
      <c r="AL5" s="76">
        <f>S5</f>
        <v>191528</v>
      </c>
      <c r="AM5" s="76">
        <f t="shared" ref="AM5:AO9" si="3">T5-S5</f>
        <v>204580</v>
      </c>
      <c r="AN5" s="76">
        <f t="shared" si="3"/>
        <v>199132</v>
      </c>
      <c r="AO5" s="76">
        <f t="shared" si="3"/>
        <v>197444</v>
      </c>
      <c r="AP5" s="76">
        <f>W5</f>
        <v>195770.9215</v>
      </c>
      <c r="AQ5" s="76">
        <f t="shared" ref="AQ5:AR10" si="4">X5-W5</f>
        <v>206812.20425000001</v>
      </c>
      <c r="AR5" s="77">
        <f>Y5-X5</f>
        <v>209904.46123000002</v>
      </c>
    </row>
    <row r="6" spans="2:44" s="10" customFormat="1" x14ac:dyDescent="0.25">
      <c r="D6" s="33" t="s">
        <v>101</v>
      </c>
      <c r="E6" s="76">
        <v>718521</v>
      </c>
      <c r="F6" s="89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76">
        <v>580288</v>
      </c>
      <c r="V6" s="76">
        <v>777782</v>
      </c>
      <c r="W6" s="76">
        <v>195848.11284999998</v>
      </c>
      <c r="X6" s="76">
        <v>392600.89910000016</v>
      </c>
      <c r="Y6" s="77">
        <v>594253.99010000017</v>
      </c>
      <c r="Z6" s="78">
        <f t="shared" ref="Z6:Z9" si="5">+Y6/U6-1</f>
        <v>2.406734259540122E-2</v>
      </c>
      <c r="AA6" s="13"/>
      <c r="AB6" s="76">
        <f>I6-H6</f>
        <v>188434.77768000006</v>
      </c>
      <c r="AC6" s="76">
        <f t="shared" ref="AC6:AC9" si="6">J6-I6</f>
        <v>190015.22231999994</v>
      </c>
      <c r="AD6" s="76">
        <f t="shared" si="0"/>
        <v>184280</v>
      </c>
      <c r="AE6" s="76">
        <f t="shared" si="1"/>
        <v>186526</v>
      </c>
      <c r="AF6" s="76">
        <f t="shared" si="1"/>
        <v>188544.34435000038</v>
      </c>
      <c r="AG6" s="76">
        <f t="shared" si="1"/>
        <v>187941.65564999962</v>
      </c>
      <c r="AH6" s="76">
        <f t="shared" si="2"/>
        <v>183489</v>
      </c>
      <c r="AI6" s="76">
        <f t="shared" ref="AI6:AJ9" si="7">P6-O6</f>
        <v>186882</v>
      </c>
      <c r="AJ6" s="76">
        <f t="shared" si="7"/>
        <v>190707</v>
      </c>
      <c r="AK6" s="76">
        <f t="shared" ref="AK6:AK9" si="8">R6-Q6</f>
        <v>192200</v>
      </c>
      <c r="AL6" s="76">
        <f t="shared" ref="AL6:AL9" si="9">S6</f>
        <v>190008</v>
      </c>
      <c r="AM6" s="76">
        <f t="shared" si="3"/>
        <v>193693</v>
      </c>
      <c r="AN6" s="76">
        <f t="shared" si="3"/>
        <v>196587</v>
      </c>
      <c r="AO6" s="76">
        <f t="shared" si="3"/>
        <v>197494</v>
      </c>
      <c r="AP6" s="76">
        <f t="shared" ref="AP6:AP9" si="10">W6</f>
        <v>195848.11284999998</v>
      </c>
      <c r="AQ6" s="76">
        <f t="shared" si="4"/>
        <v>196752.78625000018</v>
      </c>
      <c r="AR6" s="77">
        <f t="shared" si="4"/>
        <v>201653.09100000001</v>
      </c>
    </row>
    <row r="7" spans="2:44" s="10" customFormat="1" x14ac:dyDescent="0.25">
      <c r="D7" s="48" t="s">
        <v>58</v>
      </c>
      <c r="E7" s="56">
        <v>-476725</v>
      </c>
      <c r="F7" s="56">
        <v>-389426.50000539894</v>
      </c>
      <c r="G7" s="56">
        <v>-519666.00000000006</v>
      </c>
      <c r="H7" s="56">
        <v>-245650</v>
      </c>
      <c r="I7" s="56">
        <v>-349852.0986038135</v>
      </c>
      <c r="J7" s="56">
        <v>-465382</v>
      </c>
      <c r="K7" s="56">
        <v>-120874</v>
      </c>
      <c r="L7" s="56">
        <v>-244740</v>
      </c>
      <c r="M7" s="56">
        <v>-374662.88629253145</v>
      </c>
      <c r="N7" s="56">
        <v>-518866</v>
      </c>
      <c r="O7" s="56">
        <v>-128817</v>
      </c>
      <c r="P7" s="56">
        <v>-266484</v>
      </c>
      <c r="Q7" s="56">
        <v>-418306</v>
      </c>
      <c r="R7" s="56">
        <v>-585329</v>
      </c>
      <c r="S7" s="56">
        <v>-168784</v>
      </c>
      <c r="T7" s="56">
        <v>-356828</v>
      </c>
      <c r="U7" s="56">
        <v>-527284</v>
      </c>
      <c r="V7" s="56">
        <v>-689087</v>
      </c>
      <c r="W7" s="56">
        <v>-157374.17457510444</v>
      </c>
      <c r="X7" s="56">
        <v>-315590.58734304097</v>
      </c>
      <c r="Y7" s="57">
        <v>-476597.19372216641</v>
      </c>
      <c r="Z7" s="79">
        <f t="shared" si="5"/>
        <v>-9.6128094684901466E-2</v>
      </c>
      <c r="AA7" s="13"/>
      <c r="AB7" s="56">
        <f>I7-H7</f>
        <v>-104202.0986038135</v>
      </c>
      <c r="AC7" s="56">
        <f t="shared" si="6"/>
        <v>-115529.9013961865</v>
      </c>
      <c r="AD7" s="56">
        <f t="shared" si="0"/>
        <v>-120874</v>
      </c>
      <c r="AE7" s="56">
        <f t="shared" si="1"/>
        <v>-123866</v>
      </c>
      <c r="AF7" s="56">
        <f t="shared" si="1"/>
        <v>-129922.88629253145</v>
      </c>
      <c r="AG7" s="56">
        <f t="shared" si="1"/>
        <v>-144203.11370746855</v>
      </c>
      <c r="AH7" s="56">
        <f t="shared" si="2"/>
        <v>-128817</v>
      </c>
      <c r="AI7" s="56">
        <f t="shared" si="7"/>
        <v>-137667</v>
      </c>
      <c r="AJ7" s="56">
        <f t="shared" si="7"/>
        <v>-151822</v>
      </c>
      <c r="AK7" s="56">
        <f t="shared" si="8"/>
        <v>-167023</v>
      </c>
      <c r="AL7" s="56">
        <f t="shared" si="9"/>
        <v>-168784</v>
      </c>
      <c r="AM7" s="56">
        <f t="shared" si="3"/>
        <v>-188044</v>
      </c>
      <c r="AN7" s="56">
        <f t="shared" si="3"/>
        <v>-170456</v>
      </c>
      <c r="AO7" s="56">
        <f t="shared" si="3"/>
        <v>-161803</v>
      </c>
      <c r="AP7" s="56">
        <f t="shared" si="10"/>
        <v>-157374.17457510444</v>
      </c>
      <c r="AQ7" s="56">
        <f t="shared" si="4"/>
        <v>-158216.41276793653</v>
      </c>
      <c r="AR7" s="57">
        <f t="shared" si="4"/>
        <v>-161006.60637912544</v>
      </c>
    </row>
    <row r="8" spans="2:44" s="10" customFormat="1" x14ac:dyDescent="0.25">
      <c r="D8" s="48" t="s">
        <v>59</v>
      </c>
      <c r="E8" s="56">
        <v>-154001</v>
      </c>
      <c r="F8" s="56">
        <v>-115432.9615953328</v>
      </c>
      <c r="G8" s="56">
        <v>-152748</v>
      </c>
      <c r="H8" s="56">
        <v>-79437</v>
      </c>
      <c r="I8" s="56">
        <v>-118909.1742417893</v>
      </c>
      <c r="J8" s="56">
        <v>-159468</v>
      </c>
      <c r="K8" s="56">
        <v>-36685</v>
      </c>
      <c r="L8" s="56">
        <v>-75358</v>
      </c>
      <c r="M8" s="56">
        <v>-114751.67075482252</v>
      </c>
      <c r="N8" s="56">
        <v>-154310</v>
      </c>
      <c r="O8" s="56">
        <v>-35791</v>
      </c>
      <c r="P8" s="56">
        <v>-71468</v>
      </c>
      <c r="Q8" s="56">
        <v>-110044</v>
      </c>
      <c r="R8" s="56">
        <v>-150800</v>
      </c>
      <c r="S8" s="56">
        <v>-38667</v>
      </c>
      <c r="T8" s="56">
        <v>-73729</v>
      </c>
      <c r="U8" s="56">
        <v>-112198</v>
      </c>
      <c r="V8" s="56">
        <v>-153853</v>
      </c>
      <c r="W8" s="56">
        <v>-39247.284874826328</v>
      </c>
      <c r="X8" s="56">
        <v>-76797.870400307569</v>
      </c>
      <c r="Y8" s="57">
        <v>-115567.12561782304</v>
      </c>
      <c r="Z8" s="79">
        <f t="shared" si="5"/>
        <v>3.0028392821824346E-2</v>
      </c>
      <c r="AA8" s="13"/>
      <c r="AB8" s="56">
        <f>I8-H8</f>
        <v>-39472.174241789297</v>
      </c>
      <c r="AC8" s="56">
        <f t="shared" si="6"/>
        <v>-40558.825758210703</v>
      </c>
      <c r="AD8" s="56">
        <f t="shared" si="0"/>
        <v>-36685</v>
      </c>
      <c r="AE8" s="56">
        <f t="shared" si="1"/>
        <v>-38673</v>
      </c>
      <c r="AF8" s="56">
        <f t="shared" si="1"/>
        <v>-39393.670754822524</v>
      </c>
      <c r="AG8" s="56">
        <f t="shared" si="1"/>
        <v>-39558.329245177476</v>
      </c>
      <c r="AH8" s="56">
        <f t="shared" si="2"/>
        <v>-35791</v>
      </c>
      <c r="AI8" s="56">
        <f t="shared" si="7"/>
        <v>-35677</v>
      </c>
      <c r="AJ8" s="56">
        <f t="shared" si="7"/>
        <v>-38576</v>
      </c>
      <c r="AK8" s="56">
        <f t="shared" si="8"/>
        <v>-40756</v>
      </c>
      <c r="AL8" s="56">
        <f t="shared" si="9"/>
        <v>-38667</v>
      </c>
      <c r="AM8" s="56">
        <f t="shared" si="3"/>
        <v>-35062</v>
      </c>
      <c r="AN8" s="56">
        <f t="shared" si="3"/>
        <v>-38469</v>
      </c>
      <c r="AO8" s="56">
        <f t="shared" si="3"/>
        <v>-41655</v>
      </c>
      <c r="AP8" s="56">
        <f t="shared" si="10"/>
        <v>-39247.284874826328</v>
      </c>
      <c r="AQ8" s="56">
        <f t="shared" si="4"/>
        <v>-37550.585525481241</v>
      </c>
      <c r="AR8" s="57">
        <f t="shared" si="4"/>
        <v>-38769.255217515471</v>
      </c>
    </row>
    <row r="9" spans="2:44" s="10" customFormat="1" ht="15" thickBot="1" x14ac:dyDescent="0.3">
      <c r="D9" s="48" t="s">
        <v>102</v>
      </c>
      <c r="E9" s="56">
        <v>27179</v>
      </c>
      <c r="F9" s="56">
        <v>23881.10989</v>
      </c>
      <c r="G9" s="56">
        <v>30638</v>
      </c>
      <c r="H9" s="56">
        <v>9281</v>
      </c>
      <c r="I9" s="56">
        <v>14965.983510000002</v>
      </c>
      <c r="J9" s="56">
        <v>18726</v>
      </c>
      <c r="K9" s="56">
        <v>4390</v>
      </c>
      <c r="L9" s="56">
        <v>9882</v>
      </c>
      <c r="M9" s="56">
        <v>15696.075209999997</v>
      </c>
      <c r="N9" s="56">
        <v>22877</v>
      </c>
      <c r="O9" s="56">
        <v>2550</v>
      </c>
      <c r="P9" s="56">
        <v>7286</v>
      </c>
      <c r="Q9" s="56">
        <v>12636</v>
      </c>
      <c r="R9" s="56">
        <v>17506</v>
      </c>
      <c r="S9" s="56">
        <v>2391</v>
      </c>
      <c r="T9" s="56">
        <v>9173</v>
      </c>
      <c r="U9" s="56">
        <v>15875</v>
      </c>
      <c r="V9" s="56">
        <v>22098</v>
      </c>
      <c r="W9" s="56">
        <v>5275.4782199999991</v>
      </c>
      <c r="X9" s="56">
        <v>11003.937720000002</v>
      </c>
      <c r="Y9" s="57">
        <v>16948.11387999999</v>
      </c>
      <c r="Z9" s="79">
        <f t="shared" si="5"/>
        <v>6.7597724724408836E-2</v>
      </c>
      <c r="AA9" s="13"/>
      <c r="AB9" s="56">
        <f>I9-H9</f>
        <v>5684.9835100000018</v>
      </c>
      <c r="AC9" s="56">
        <f t="shared" si="6"/>
        <v>3760.0164899999982</v>
      </c>
      <c r="AD9" s="56">
        <f>K9</f>
        <v>4390</v>
      </c>
      <c r="AE9" s="56">
        <f t="shared" si="1"/>
        <v>5492</v>
      </c>
      <c r="AF9" s="56">
        <f t="shared" si="1"/>
        <v>5814.0752099999972</v>
      </c>
      <c r="AG9" s="56">
        <f t="shared" si="1"/>
        <v>7180.9247900000028</v>
      </c>
      <c r="AH9" s="56">
        <f>O9</f>
        <v>2550</v>
      </c>
      <c r="AI9" s="56">
        <f t="shared" si="7"/>
        <v>4736</v>
      </c>
      <c r="AJ9" s="56">
        <f t="shared" si="7"/>
        <v>5350</v>
      </c>
      <c r="AK9" s="56">
        <f t="shared" si="8"/>
        <v>4870</v>
      </c>
      <c r="AL9" s="56">
        <f t="shared" si="9"/>
        <v>2391</v>
      </c>
      <c r="AM9" s="56">
        <f t="shared" si="3"/>
        <v>6782</v>
      </c>
      <c r="AN9" s="56">
        <f t="shared" si="3"/>
        <v>6702</v>
      </c>
      <c r="AO9" s="56">
        <f t="shared" si="3"/>
        <v>6223</v>
      </c>
      <c r="AP9" s="56">
        <f t="shared" si="10"/>
        <v>5275.4782199999991</v>
      </c>
      <c r="AQ9" s="56">
        <f t="shared" si="4"/>
        <v>5728.4595000000027</v>
      </c>
      <c r="AR9" s="57">
        <f t="shared" si="4"/>
        <v>5944.1761599999882</v>
      </c>
    </row>
    <row r="10" spans="2:44" s="10" customFormat="1" ht="15" thickBot="1" x14ac:dyDescent="0.3">
      <c r="D10" s="42" t="s">
        <v>56</v>
      </c>
      <c r="E10" s="59">
        <f>SUM(E6:E9)</f>
        <v>114974</v>
      </c>
      <c r="F10" s="59">
        <f>SUM(F6:F9)</f>
        <v>77269.079859267804</v>
      </c>
      <c r="G10" s="59">
        <f>SUM(G6:G9)</f>
        <v>106532.99999999994</v>
      </c>
      <c r="H10" s="59">
        <f>SUM(H6:H9)</f>
        <v>58349</v>
      </c>
      <c r="I10" s="59">
        <f>SUM(I6:I9)</f>
        <v>108794.48834439726</v>
      </c>
      <c r="J10" s="59">
        <f t="shared" ref="J10:W10" si="11">SUM(J6:J9)</f>
        <v>146481</v>
      </c>
      <c r="K10" s="59">
        <f t="shared" si="11"/>
        <v>31111</v>
      </c>
      <c r="L10" s="59">
        <f t="shared" si="11"/>
        <v>60590</v>
      </c>
      <c r="M10" s="59">
        <f t="shared" si="11"/>
        <v>85631.862512646403</v>
      </c>
      <c r="N10" s="59">
        <f t="shared" si="11"/>
        <v>96993</v>
      </c>
      <c r="O10" s="59">
        <f t="shared" si="11"/>
        <v>21431</v>
      </c>
      <c r="P10" s="59">
        <f t="shared" si="11"/>
        <v>39705</v>
      </c>
      <c r="Q10" s="59">
        <f t="shared" si="11"/>
        <v>45364</v>
      </c>
      <c r="R10" s="59">
        <f t="shared" si="11"/>
        <v>34655</v>
      </c>
      <c r="S10" s="59">
        <f t="shared" si="11"/>
        <v>-15052</v>
      </c>
      <c r="T10" s="59">
        <f t="shared" si="11"/>
        <v>-37683</v>
      </c>
      <c r="U10" s="59">
        <f t="shared" si="11"/>
        <v>-43319</v>
      </c>
      <c r="V10" s="59">
        <f t="shared" si="11"/>
        <v>-43060</v>
      </c>
      <c r="W10" s="59">
        <f t="shared" si="11"/>
        <v>4502.1316200692108</v>
      </c>
      <c r="X10" s="59">
        <f>SUM(X6:X9)</f>
        <v>11216.379076651618</v>
      </c>
      <c r="Y10" s="60">
        <f>SUM(Y6:Y9)</f>
        <v>19037.784640010708</v>
      </c>
      <c r="Z10" s="80" t="s">
        <v>192</v>
      </c>
      <c r="AA10" s="13"/>
      <c r="AB10" s="59">
        <f t="shared" ref="AB10:AI10" si="12">SUM(AB6:AB9)</f>
        <v>50445.488344397265</v>
      </c>
      <c r="AC10" s="59">
        <f t="shared" si="12"/>
        <v>37686.511655602735</v>
      </c>
      <c r="AD10" s="59">
        <f t="shared" si="12"/>
        <v>31111</v>
      </c>
      <c r="AE10" s="59">
        <f>SUM(AE6:AE9)</f>
        <v>29479</v>
      </c>
      <c r="AF10" s="59">
        <f>SUM(AF6:AF9)</f>
        <v>25041.862512646403</v>
      </c>
      <c r="AG10" s="59">
        <f t="shared" si="12"/>
        <v>11361.137487353595</v>
      </c>
      <c r="AH10" s="59">
        <f t="shared" si="12"/>
        <v>21431</v>
      </c>
      <c r="AI10" s="59">
        <f t="shared" si="12"/>
        <v>18274</v>
      </c>
      <c r="AJ10" s="59">
        <f t="shared" ref="AJ10:AP10" si="13">SUM(AJ6:AJ9)</f>
        <v>5659</v>
      </c>
      <c r="AK10" s="59">
        <f t="shared" si="13"/>
        <v>-10709</v>
      </c>
      <c r="AL10" s="59">
        <f t="shared" si="13"/>
        <v>-15052</v>
      </c>
      <c r="AM10" s="59">
        <f t="shared" si="13"/>
        <v>-22631</v>
      </c>
      <c r="AN10" s="59">
        <f t="shared" si="13"/>
        <v>-5636</v>
      </c>
      <c r="AO10" s="59">
        <f t="shared" si="13"/>
        <v>259</v>
      </c>
      <c r="AP10" s="59">
        <f t="shared" si="13"/>
        <v>4502.1316200692108</v>
      </c>
      <c r="AQ10" s="59">
        <f t="shared" si="4"/>
        <v>6714.2474565824068</v>
      </c>
      <c r="AR10" s="60">
        <f t="shared" si="4"/>
        <v>7821.4055633590906</v>
      </c>
    </row>
    <row r="11" spans="2:44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9"/>
      <c r="Z11" s="49"/>
      <c r="AA11" s="13"/>
    </row>
    <row r="12" spans="2:44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27"/>
      <c r="Z12" s="27" t="s">
        <v>46</v>
      </c>
      <c r="AA12" s="13"/>
      <c r="AN12" s="27"/>
      <c r="AO12" s="27"/>
      <c r="AP12" s="27"/>
      <c r="AQ12" s="27"/>
      <c r="AR12" s="27" t="s">
        <v>46</v>
      </c>
    </row>
    <row r="13" spans="2:44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13"/>
    </row>
    <row r="14" spans="2:44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9"/>
      <c r="Z14" s="49"/>
      <c r="AA14" s="13"/>
    </row>
    <row r="15" spans="2:44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215</v>
      </c>
      <c r="Y15" s="74" t="s">
        <v>219</v>
      </c>
      <c r="Z15" s="82" t="s">
        <v>2</v>
      </c>
      <c r="AA15" s="13"/>
      <c r="AB15" s="47" t="s">
        <v>110</v>
      </c>
      <c r="AC15" s="47" t="s">
        <v>111</v>
      </c>
      <c r="AD15" s="47" t="s">
        <v>112</v>
      </c>
      <c r="AE15" s="47" t="s">
        <v>113</v>
      </c>
      <c r="AF15" s="47" t="s">
        <v>114</v>
      </c>
      <c r="AG15" s="47" t="s">
        <v>115</v>
      </c>
      <c r="AH15" s="47" t="s">
        <v>116</v>
      </c>
      <c r="AI15" s="47" t="s">
        <v>117</v>
      </c>
      <c r="AJ15" s="47" t="s">
        <v>118</v>
      </c>
      <c r="AK15" s="47" t="s">
        <v>119</v>
      </c>
      <c r="AL15" s="47" t="s">
        <v>62</v>
      </c>
      <c r="AM15" s="47" t="s">
        <v>63</v>
      </c>
      <c r="AN15" s="47" t="s">
        <v>64</v>
      </c>
      <c r="AO15" s="47" t="s">
        <v>65</v>
      </c>
      <c r="AP15" s="47" t="s">
        <v>191</v>
      </c>
      <c r="AQ15" s="47" t="s">
        <v>216</v>
      </c>
      <c r="AR15" s="74" t="s">
        <v>220</v>
      </c>
    </row>
    <row r="16" spans="2:44" s="10" customFormat="1" x14ac:dyDescent="0.25">
      <c r="D16" s="48" t="s">
        <v>60</v>
      </c>
      <c r="E16" s="49">
        <f>-E7/E6</f>
        <v>0.66348095601937873</v>
      </c>
      <c r="F16" s="49">
        <f t="shared" ref="F16" si="14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5">-J7/J6</f>
        <v>0.61836155752353494</v>
      </c>
      <c r="K16" s="49">
        <f t="shared" si="15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16">-P7/P6</f>
        <v>0.71950557684051941</v>
      </c>
      <c r="Q16" s="49">
        <f t="shared" ref="Q16:Y16" si="17">-Q7/Q6</f>
        <v>0.7455398358160541</v>
      </c>
      <c r="R16" s="49">
        <f t="shared" si="17"/>
        <v>0.77704247303120499</v>
      </c>
      <c r="S16" s="49">
        <f t="shared" si="17"/>
        <v>0.88829944002357797</v>
      </c>
      <c r="T16" s="49">
        <f t="shared" si="17"/>
        <v>0.92996369569013371</v>
      </c>
      <c r="U16" s="49">
        <f t="shared" si="17"/>
        <v>0.90865914856071472</v>
      </c>
      <c r="V16" s="49">
        <f t="shared" si="17"/>
        <v>0.88596419048010877</v>
      </c>
      <c r="W16" s="49">
        <f t="shared" si="17"/>
        <v>0.80355216236184657</v>
      </c>
      <c r="X16" s="49">
        <f t="shared" si="17"/>
        <v>0.80384580897930202</v>
      </c>
      <c r="Y16" s="50">
        <f t="shared" si="17"/>
        <v>0.80200924463622925</v>
      </c>
      <c r="Z16" s="69">
        <f>(Y16-U16)*100</f>
        <v>-10.664990392448548</v>
      </c>
      <c r="AA16" s="13"/>
      <c r="AB16" s="49">
        <f t="shared" ref="AB16:AE16" si="18">-AB7/AB6</f>
        <v>0.55298761665306551</v>
      </c>
      <c r="AC16" s="49">
        <f t="shared" si="18"/>
        <v>0.60800340091503535</v>
      </c>
      <c r="AD16" s="49">
        <f t="shared" si="18"/>
        <v>0.65592576514000434</v>
      </c>
      <c r="AE16" s="49">
        <f t="shared" si="18"/>
        <v>0.66406828002530482</v>
      </c>
      <c r="AF16" s="49">
        <f>-AF7/AF6</f>
        <v>0.68908397512763253</v>
      </c>
      <c r="AG16" s="49">
        <f t="shared" ref="AG16:AJ16" si="19">-AG7/AG6</f>
        <v>0.7672759570449641</v>
      </c>
      <c r="AH16" s="49">
        <f t="shared" si="19"/>
        <v>0.70204208426663184</v>
      </c>
      <c r="AI16" s="49">
        <f t="shared" si="19"/>
        <v>0.73665200500850803</v>
      </c>
      <c r="AJ16" s="49">
        <f t="shared" si="19"/>
        <v>0.79610082482551769</v>
      </c>
      <c r="AK16" s="49">
        <f>-AK7/AK6</f>
        <v>0.86900624349635791</v>
      </c>
      <c r="AL16" s="49">
        <f>-AL7/AL6</f>
        <v>0.88829944002357797</v>
      </c>
      <c r="AM16" s="49">
        <f>-AM7/AM6</f>
        <v>0.97083529089848364</v>
      </c>
      <c r="AN16" s="49">
        <f>-AN7/AN6</f>
        <v>0.86707666325850641</v>
      </c>
      <c r="AO16" s="49">
        <f>-AO7/AO6</f>
        <v>0.81928058573931362</v>
      </c>
      <c r="AP16" s="49">
        <f t="shared" ref="AP16" si="20">-AP7/AP6</f>
        <v>0.80355216236184657</v>
      </c>
      <c r="AQ16" s="49">
        <f t="shared" ref="AQ16:AR16" si="21">-AQ7/AQ6</f>
        <v>0.80413810540350805</v>
      </c>
      <c r="AR16" s="50">
        <f t="shared" si="21"/>
        <v>0.79843361478215791</v>
      </c>
    </row>
    <row r="17" spans="4:44" s="10" customFormat="1" ht="15" thickBot="1" x14ac:dyDescent="0.3">
      <c r="D17" s="48" t="s">
        <v>61</v>
      </c>
      <c r="E17" s="49">
        <f>-(E8+E9)/E6</f>
        <v>0.17650423578434032</v>
      </c>
      <c r="F17" s="49">
        <f t="shared" ref="F17" si="22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3">-(J8+J9)/J6</f>
        <v>0.18700646421429568</v>
      </c>
      <c r="K17" s="49">
        <f t="shared" si="23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4">-(P8+P9)/P6</f>
        <v>0.1732911054051208</v>
      </c>
      <c r="Q17" s="49">
        <f t="shared" ref="Q17:Y17" si="25">-(Q8+Q9)/Q6</f>
        <v>0.1736086604714496</v>
      </c>
      <c r="R17" s="49">
        <f t="shared" si="25"/>
        <v>0.17695193540764498</v>
      </c>
      <c r="S17" s="49">
        <f t="shared" si="25"/>
        <v>0.19091827712517367</v>
      </c>
      <c r="T17" s="49">
        <f t="shared" si="25"/>
        <v>0.16824558705867329</v>
      </c>
      <c r="U17" s="49">
        <f t="shared" si="25"/>
        <v>0.16599171445902725</v>
      </c>
      <c r="V17" s="49">
        <f t="shared" si="25"/>
        <v>0.16939836612315534</v>
      </c>
      <c r="W17" s="49">
        <f t="shared" si="25"/>
        <v>0.17345996425732899</v>
      </c>
      <c r="X17" s="49">
        <f t="shared" si="25"/>
        <v>0.16758477331848662</v>
      </c>
      <c r="Y17" s="50">
        <f t="shared" si="25"/>
        <v>0.16595431142368533</v>
      </c>
      <c r="Z17" s="69">
        <f t="shared" ref="Z17:Z18" si="26">(Y17-U17)*100</f>
        <v>-3.7403035341915247E-3</v>
      </c>
      <c r="AA17" s="13"/>
      <c r="AB17" s="49">
        <f t="shared" ref="AB17:AE17" si="27">-(AB8+AB9)/AB6</f>
        <v>0.1793044317390641</v>
      </c>
      <c r="AC17" s="49">
        <f t="shared" si="27"/>
        <v>0.19366242777243786</v>
      </c>
      <c r="AD17" s="49">
        <f t="shared" si="27"/>
        <v>0.17524962014326026</v>
      </c>
      <c r="AE17" s="49">
        <f t="shared" si="27"/>
        <v>0.17788940951931634</v>
      </c>
      <c r="AF17" s="49">
        <f>-(AF8+AF9)/AF6</f>
        <v>0.17809919284817022</v>
      </c>
      <c r="AG17" s="49">
        <f t="shared" ref="AG17:AJ17" si="28">-(AG8+AG9)/AG6</f>
        <v>0.1722737002778848</v>
      </c>
      <c r="AH17" s="49">
        <f t="shared" si="28"/>
        <v>0.18116072353111085</v>
      </c>
      <c r="AI17" s="49">
        <f t="shared" si="28"/>
        <v>0.16556436681970441</v>
      </c>
      <c r="AJ17" s="49">
        <f t="shared" si="28"/>
        <v>0.17422538239288543</v>
      </c>
      <c r="AK17" s="49">
        <f>-(AK8+AK9)/AK6</f>
        <v>0.18671175858480749</v>
      </c>
      <c r="AL17" s="49">
        <f>-(AL8+AL9)/AL6</f>
        <v>0.19091827712517367</v>
      </c>
      <c r="AM17" s="49">
        <f>-(AM8+AM9)/AM6</f>
        <v>0.14600424382915231</v>
      </c>
      <c r="AN17" s="49">
        <f>-(AN8+AN9)/AN6</f>
        <v>0.16159257733217355</v>
      </c>
      <c r="AO17" s="49">
        <f>-(AO8+AO9)/AO6</f>
        <v>0.17940798201464347</v>
      </c>
      <c r="AP17" s="49">
        <f t="shared" ref="AP17" si="29">-(AP8+AP9)/AP6</f>
        <v>0.17345996425732899</v>
      </c>
      <c r="AQ17" s="49">
        <f t="shared" ref="AQ17:AR17" si="30">-(AQ8+AQ9)/AQ6</f>
        <v>0.16173659662967649</v>
      </c>
      <c r="AR17" s="50">
        <f t="shared" si="30"/>
        <v>0.1627799449774637</v>
      </c>
    </row>
    <row r="18" spans="4:44" s="10" customFormat="1" ht="15" thickBot="1" x14ac:dyDescent="0.3">
      <c r="D18" s="42" t="s">
        <v>55</v>
      </c>
      <c r="E18" s="51">
        <f>-(E7+E8+E9)/E6</f>
        <v>0.839985191803719</v>
      </c>
      <c r="F18" s="51">
        <f t="shared" ref="F18" si="31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32">-(J7+J8+J9)/J6</f>
        <v>0.80536802173783062</v>
      </c>
      <c r="K18" s="51">
        <f t="shared" si="32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3">-(P7+P8+P9)/P6</f>
        <v>0.89279668224564013</v>
      </c>
      <c r="Q18" s="51">
        <f t="shared" ref="Q18:Y18" si="34">-(Q7+Q8+Q9)/Q6</f>
        <v>0.91914849628750372</v>
      </c>
      <c r="R18" s="51">
        <f t="shared" si="34"/>
        <v>0.95399440843884997</v>
      </c>
      <c r="S18" s="51">
        <f t="shared" si="34"/>
        <v>1.0792177171487516</v>
      </c>
      <c r="T18" s="51">
        <f t="shared" si="34"/>
        <v>1.098209282748807</v>
      </c>
      <c r="U18" s="51">
        <f t="shared" si="34"/>
        <v>1.074650863019742</v>
      </c>
      <c r="V18" s="51">
        <f t="shared" si="34"/>
        <v>1.0553625566032641</v>
      </c>
      <c r="W18" s="51">
        <f t="shared" si="34"/>
        <v>0.97701212661917558</v>
      </c>
      <c r="X18" s="51">
        <f t="shared" si="34"/>
        <v>0.97143058229778878</v>
      </c>
      <c r="Y18" s="52">
        <f t="shared" si="34"/>
        <v>0.96796355605991469</v>
      </c>
      <c r="Z18" s="83">
        <f t="shared" si="26"/>
        <v>-10.668730695982731</v>
      </c>
      <c r="AA18" s="13"/>
      <c r="AB18" s="51">
        <f t="shared" ref="AB18:AE18" si="35">-(AB7+AB8+AB9)/AB6</f>
        <v>0.73229204839212969</v>
      </c>
      <c r="AC18" s="51">
        <f t="shared" si="35"/>
        <v>0.80166582868747316</v>
      </c>
      <c r="AD18" s="51">
        <f t="shared" si="35"/>
        <v>0.83117538528326462</v>
      </c>
      <c r="AE18" s="51">
        <f t="shared" si="35"/>
        <v>0.84195768954462114</v>
      </c>
      <c r="AF18" s="51">
        <f>-(AF7+AF8+AF9)/AF6</f>
        <v>0.86718316797580264</v>
      </c>
      <c r="AG18" s="51">
        <f t="shared" ref="AG18:AJ18" si="36">-(AG7+AG8+AG9)/AG6</f>
        <v>0.93954965732284901</v>
      </c>
      <c r="AH18" s="51">
        <f t="shared" si="36"/>
        <v>0.88320280779774263</v>
      </c>
      <c r="AI18" s="51">
        <f t="shared" si="36"/>
        <v>0.90221637182821246</v>
      </c>
      <c r="AJ18" s="51">
        <f t="shared" si="36"/>
        <v>0.97032620721840313</v>
      </c>
      <c r="AK18" s="51">
        <f>-(AK7+AK8+AK9)/AK6</f>
        <v>1.0557180020811654</v>
      </c>
      <c r="AL18" s="51">
        <f>-(AL7+AL8+AL9)/AL6</f>
        <v>1.0792177171487516</v>
      </c>
      <c r="AM18" s="51">
        <f>-(AM7+AM8+AM9)/AM6</f>
        <v>1.1168395347276361</v>
      </c>
      <c r="AN18" s="51">
        <f>-(AN7+AN8+AN9)/AN6</f>
        <v>1.0286692405906799</v>
      </c>
      <c r="AO18" s="51">
        <f>-(AO7+AO8+AO9)/AO6</f>
        <v>0.99868856775395709</v>
      </c>
      <c r="AP18" s="51">
        <f t="shared" ref="AP18" si="37">-(AP7+AP8+AP9)/AP6</f>
        <v>0.97701212661917558</v>
      </c>
      <c r="AQ18" s="51">
        <f t="shared" ref="AQ18:AR18" si="38">-(AQ7+AQ8+AQ9)/AQ6</f>
        <v>0.96587470203318448</v>
      </c>
      <c r="AR18" s="52">
        <f t="shared" si="38"/>
        <v>0.96121355975962164</v>
      </c>
    </row>
    <row r="19" spans="4:44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64"/>
      <c r="AA19" s="45"/>
    </row>
    <row r="20" spans="4:44" s="10" customFormat="1" x14ac:dyDescent="0.25">
      <c r="Y20" s="90"/>
      <c r="Z20" s="90"/>
      <c r="AA20" s="81"/>
    </row>
  </sheetData>
  <hyperlinks>
    <hyperlink ref="B2" location="'Financial Supplement&gt;&gt;&gt;'!A1" display="ÍNDICE" xr:uid="{2E411EA5-2268-4F3F-AE63-FC8674890690}"/>
  </hyperlinks>
  <pageMargins left="0.7" right="0.7" top="0.75" bottom="0.75" header="0.3" footer="0.3"/>
  <pageSetup paperSize="9" scale="71" orientation="landscape" r:id="rId1"/>
  <colBreaks count="1" manualBreakCount="1">
    <brk id="35" max="1048575" man="1"/>
  </colBreaks>
  <ignoredErrors>
    <ignoredError sqref="AD5:AL10 AP5:AP10" formula="1"/>
    <ignoredError sqref="E10:R10 S10:Y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91" hidden="1" customWidth="1" outlineLevel="1"/>
    <col min="21" max="21" width="11" style="91" customWidth="1" collapsed="1"/>
    <col min="22" max="22" width="11" style="91" customWidth="1"/>
    <col min="23" max="24" width="11" style="91" hidden="1" customWidth="1" outlineLevel="1"/>
    <col min="25" max="25" width="11" style="91" customWidth="1" collapsed="1"/>
    <col min="26" max="26" width="11" style="73" customWidth="1"/>
    <col min="27" max="27" width="3" style="13" customWidth="1"/>
    <col min="28" max="16384" width="10.85546875" style="73"/>
  </cols>
  <sheetData>
    <row r="1" spans="2:44" ht="16.5" customHeight="1" x14ac:dyDescent="0.2"/>
    <row r="2" spans="2:44" ht="18.75" customHeight="1" thickBot="1" x14ac:dyDescent="0.25">
      <c r="B2" s="11" t="s">
        <v>32</v>
      </c>
      <c r="D2" s="14" t="s">
        <v>165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2"/>
      <c r="T2" s="92"/>
      <c r="U2" s="92"/>
      <c r="V2" s="92"/>
      <c r="W2" s="92"/>
      <c r="X2" s="92"/>
      <c r="Y2" s="92"/>
      <c r="Z2" s="14"/>
      <c r="AB2" s="14" t="s">
        <v>44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215</v>
      </c>
      <c r="Y4" s="74" t="s">
        <v>219</v>
      </c>
      <c r="Z4" s="93" t="s">
        <v>0</v>
      </c>
      <c r="AA4" s="13"/>
      <c r="AB4" s="47" t="s">
        <v>110</v>
      </c>
      <c r="AC4" s="47" t="s">
        <v>111</v>
      </c>
      <c r="AD4" s="47" t="s">
        <v>112</v>
      </c>
      <c r="AE4" s="47" t="s">
        <v>113</v>
      </c>
      <c r="AF4" s="47" t="s">
        <v>114</v>
      </c>
      <c r="AG4" s="47" t="s">
        <v>115</v>
      </c>
      <c r="AH4" s="47" t="s">
        <v>116</v>
      </c>
      <c r="AI4" s="47" t="s">
        <v>117</v>
      </c>
      <c r="AJ4" s="47" t="s">
        <v>118</v>
      </c>
      <c r="AK4" s="47" t="s">
        <v>119</v>
      </c>
      <c r="AL4" s="47" t="s">
        <v>62</v>
      </c>
      <c r="AM4" s="47" t="s">
        <v>63</v>
      </c>
      <c r="AN4" s="47" t="s">
        <v>64</v>
      </c>
      <c r="AO4" s="47" t="s">
        <v>65</v>
      </c>
      <c r="AP4" s="47" t="s">
        <v>191</v>
      </c>
      <c r="AQ4" s="47" t="s">
        <v>216</v>
      </c>
      <c r="AR4" s="74" t="s">
        <v>220</v>
      </c>
    </row>
    <row r="5" spans="2:44" s="10" customFormat="1" x14ac:dyDescent="0.25">
      <c r="D5" s="33" t="s">
        <v>54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76">
        <v>111604</v>
      </c>
      <c r="V5" s="76">
        <v>149430</v>
      </c>
      <c r="W5" s="76">
        <v>39270.26496</v>
      </c>
      <c r="X5" s="76">
        <v>78628.05045000001</v>
      </c>
      <c r="Y5" s="77">
        <v>117010.78094000001</v>
      </c>
      <c r="Z5" s="78">
        <f t="shared" ref="Z5:Z8" si="0">+Y5/U5-1</f>
        <v>4.8446121465180569E-2</v>
      </c>
      <c r="AA5" s="13"/>
      <c r="AB5" s="76">
        <f>I5-H5</f>
        <v>29837.838810000001</v>
      </c>
      <c r="AC5" s="76">
        <f>J5-I5</f>
        <v>31109.832219999997</v>
      </c>
      <c r="AD5" s="76">
        <f>K5</f>
        <v>31764</v>
      </c>
      <c r="AE5" s="76">
        <f t="shared" ref="AE5:AE9" si="1">L5-K5</f>
        <v>33015</v>
      </c>
      <c r="AF5" s="76">
        <f>M5-L5</f>
        <v>32265.810309999986</v>
      </c>
      <c r="AG5" s="76">
        <f t="shared" ref="AG5:AG9" si="2">N5-M5</f>
        <v>34198.189690000014</v>
      </c>
      <c r="AH5" s="76">
        <f>O5</f>
        <v>35256</v>
      </c>
      <c r="AI5" s="76">
        <f t="shared" ref="AI5:AK7" si="3">P5-O5</f>
        <v>36411</v>
      </c>
      <c r="AJ5" s="76">
        <f t="shared" si="3"/>
        <v>35229</v>
      </c>
      <c r="AK5" s="76">
        <f t="shared" si="3"/>
        <v>36817</v>
      </c>
      <c r="AL5" s="76">
        <f>S5</f>
        <v>37607</v>
      </c>
      <c r="AM5" s="76">
        <f t="shared" ref="AM5:AO9" si="4">T5-S5</f>
        <v>37676</v>
      </c>
      <c r="AN5" s="76">
        <f t="shared" si="4"/>
        <v>36321</v>
      </c>
      <c r="AO5" s="76">
        <f t="shared" si="4"/>
        <v>37826</v>
      </c>
      <c r="AP5" s="76">
        <f>W5</f>
        <v>39270.26496</v>
      </c>
      <c r="AQ5" s="76">
        <f t="shared" ref="AQ5:AR10" si="5">X5-W5</f>
        <v>39357.785490000009</v>
      </c>
      <c r="AR5" s="77">
        <f>Y5-X5</f>
        <v>38382.730490000002</v>
      </c>
    </row>
    <row r="6" spans="2:44" s="10" customFormat="1" x14ac:dyDescent="0.25">
      <c r="D6" s="33" t="s">
        <v>101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76">
        <v>105756</v>
      </c>
      <c r="V6" s="76">
        <v>141956</v>
      </c>
      <c r="W6" s="76">
        <v>35990.438099999985</v>
      </c>
      <c r="X6" s="76">
        <v>72860.261029999994</v>
      </c>
      <c r="Y6" s="77">
        <v>110641.99561000001</v>
      </c>
      <c r="Z6" s="78">
        <f t="shared" si="0"/>
        <v>4.6200646866371819E-2</v>
      </c>
      <c r="AA6" s="13"/>
      <c r="AB6" s="76">
        <f>I6-H6</f>
        <v>28281.065399999949</v>
      </c>
      <c r="AC6" s="76">
        <f t="shared" ref="AC6:AC9" si="6">J6-I6</f>
        <v>28980.934600000051</v>
      </c>
      <c r="AD6" s="76">
        <f t="shared" ref="AD6:AD9" si="7">K6</f>
        <v>28726</v>
      </c>
      <c r="AE6" s="76">
        <f t="shared" si="1"/>
        <v>29440</v>
      </c>
      <c r="AF6" s="76">
        <f>M6-L6</f>
        <v>30122.386050000001</v>
      </c>
      <c r="AG6" s="76">
        <f t="shared" si="2"/>
        <v>30778.613949999999</v>
      </c>
      <c r="AH6" s="76">
        <f t="shared" ref="AH6:AH9" si="8">O6</f>
        <v>30892</v>
      </c>
      <c r="AI6" s="76">
        <f t="shared" si="3"/>
        <v>32129</v>
      </c>
      <c r="AJ6" s="76">
        <f t="shared" si="3"/>
        <v>33221</v>
      </c>
      <c r="AK6" s="76">
        <f t="shared" si="3"/>
        <v>33557</v>
      </c>
      <c r="AL6" s="76">
        <f t="shared" ref="AL6:AL9" si="9">S6</f>
        <v>34433</v>
      </c>
      <c r="AM6" s="76">
        <f t="shared" si="4"/>
        <v>35408</v>
      </c>
      <c r="AN6" s="76">
        <f t="shared" si="4"/>
        <v>35915</v>
      </c>
      <c r="AO6" s="76">
        <f t="shared" si="4"/>
        <v>36200</v>
      </c>
      <c r="AP6" s="76">
        <f t="shared" ref="AP6:AP9" si="10">W6</f>
        <v>35990.438099999985</v>
      </c>
      <c r="AQ6" s="76">
        <f t="shared" si="5"/>
        <v>36869.822930000009</v>
      </c>
      <c r="AR6" s="77">
        <f t="shared" si="5"/>
        <v>37781.734580000018</v>
      </c>
    </row>
    <row r="7" spans="2:44" s="10" customFormat="1" x14ac:dyDescent="0.25">
      <c r="D7" s="48" t="s">
        <v>58</v>
      </c>
      <c r="E7" s="56">
        <v>-48215</v>
      </c>
      <c r="F7" s="56">
        <v>-39724.096594049995</v>
      </c>
      <c r="G7" s="56">
        <v>-53137</v>
      </c>
      <c r="H7" s="56">
        <v>-28390</v>
      </c>
      <c r="I7" s="56">
        <v>-45994.703035557985</v>
      </c>
      <c r="J7" s="56">
        <v>-63678</v>
      </c>
      <c r="K7" s="56">
        <v>-18299</v>
      </c>
      <c r="L7" s="56">
        <v>-33435</v>
      </c>
      <c r="M7" s="56">
        <v>-49774.005104250042</v>
      </c>
      <c r="N7" s="56">
        <v>-66003</v>
      </c>
      <c r="O7" s="56">
        <v>-18499</v>
      </c>
      <c r="P7" s="56">
        <v>-36183</v>
      </c>
      <c r="Q7" s="56">
        <v>-58937</v>
      </c>
      <c r="R7" s="56">
        <v>-81840</v>
      </c>
      <c r="S7" s="56">
        <v>-24748</v>
      </c>
      <c r="T7" s="56">
        <v>-46179</v>
      </c>
      <c r="U7" s="56">
        <v>-72041</v>
      </c>
      <c r="V7" s="56">
        <v>-97314</v>
      </c>
      <c r="W7" s="56">
        <v>-25234.137880850016</v>
      </c>
      <c r="X7" s="56">
        <v>-43223.717025000013</v>
      </c>
      <c r="Y7" s="57">
        <v>-66804.960733050015</v>
      </c>
      <c r="Z7" s="79">
        <f t="shared" si="0"/>
        <v>-7.2681379588706241E-2</v>
      </c>
      <c r="AA7" s="13"/>
      <c r="AB7" s="56">
        <f>I7-H7</f>
        <v>-17604.703035557985</v>
      </c>
      <c r="AC7" s="56">
        <f t="shared" si="6"/>
        <v>-17683.296964442015</v>
      </c>
      <c r="AD7" s="56">
        <f t="shared" si="7"/>
        <v>-18299</v>
      </c>
      <c r="AE7" s="56">
        <f t="shared" si="1"/>
        <v>-15136</v>
      </c>
      <c r="AF7" s="56">
        <f>M7-L7</f>
        <v>-16339.005104250042</v>
      </c>
      <c r="AG7" s="56">
        <f t="shared" si="2"/>
        <v>-16228.994895749958</v>
      </c>
      <c r="AH7" s="56">
        <f t="shared" si="8"/>
        <v>-18499</v>
      </c>
      <c r="AI7" s="56">
        <f t="shared" si="3"/>
        <v>-17684</v>
      </c>
      <c r="AJ7" s="56">
        <f t="shared" si="3"/>
        <v>-22754</v>
      </c>
      <c r="AK7" s="56">
        <f t="shared" si="3"/>
        <v>-22903</v>
      </c>
      <c r="AL7" s="56">
        <f t="shared" si="9"/>
        <v>-24748</v>
      </c>
      <c r="AM7" s="56">
        <f t="shared" si="4"/>
        <v>-21431</v>
      </c>
      <c r="AN7" s="56">
        <f t="shared" si="4"/>
        <v>-25862</v>
      </c>
      <c r="AO7" s="56">
        <f t="shared" si="4"/>
        <v>-25273</v>
      </c>
      <c r="AP7" s="56">
        <f t="shared" si="10"/>
        <v>-25234.137880850016</v>
      </c>
      <c r="AQ7" s="56">
        <f t="shared" si="5"/>
        <v>-17989.579144149997</v>
      </c>
      <c r="AR7" s="57">
        <f t="shared" si="5"/>
        <v>-23581.243708050002</v>
      </c>
    </row>
    <row r="8" spans="2:44" s="10" customFormat="1" x14ac:dyDescent="0.25">
      <c r="D8" s="48" t="s">
        <v>59</v>
      </c>
      <c r="E8" s="56">
        <v>-35037</v>
      </c>
      <c r="F8" s="56">
        <v>-27774.558025313498</v>
      </c>
      <c r="G8" s="56">
        <v>-37209</v>
      </c>
      <c r="H8" s="56">
        <v>-19678</v>
      </c>
      <c r="I8" s="56">
        <v>-30927.286957193995</v>
      </c>
      <c r="J8" s="56">
        <v>-40873</v>
      </c>
      <c r="K8" s="56">
        <v>-9867</v>
      </c>
      <c r="L8" s="56">
        <v>-19550</v>
      </c>
      <c r="M8" s="56">
        <v>-29832.20227503881</v>
      </c>
      <c r="N8" s="56">
        <v>-39888</v>
      </c>
      <c r="O8" s="56">
        <v>-9994</v>
      </c>
      <c r="P8" s="56">
        <v>-20405</v>
      </c>
      <c r="Q8" s="56">
        <v>-30785</v>
      </c>
      <c r="R8" s="56">
        <v>-41989</v>
      </c>
      <c r="S8" s="56">
        <v>-9156</v>
      </c>
      <c r="T8" s="56">
        <v>-20875</v>
      </c>
      <c r="U8" s="56">
        <v>-31321</v>
      </c>
      <c r="V8" s="56">
        <v>-41862</v>
      </c>
      <c r="W8" s="56">
        <v>-9902.767924062804</v>
      </c>
      <c r="X8" s="56">
        <v>-20724.706639225602</v>
      </c>
      <c r="Y8" s="57">
        <v>-31457.188437413999</v>
      </c>
      <c r="Z8" s="79">
        <f t="shared" si="0"/>
        <v>4.3481509981802002E-3</v>
      </c>
      <c r="AA8" s="13"/>
      <c r="AB8" s="56">
        <f>I8-H8</f>
        <v>-11249.286957193995</v>
      </c>
      <c r="AC8" s="56">
        <f t="shared" si="6"/>
        <v>-9945.7130428060045</v>
      </c>
      <c r="AD8" s="56">
        <f t="shared" si="7"/>
        <v>-9867</v>
      </c>
      <c r="AE8" s="56">
        <f t="shared" si="1"/>
        <v>-9683</v>
      </c>
      <c r="AF8" s="56">
        <f>M8-L8</f>
        <v>-10282.20227503881</v>
      </c>
      <c r="AG8" s="56">
        <f t="shared" si="2"/>
        <v>-10055.79772496119</v>
      </c>
      <c r="AH8" s="56">
        <f t="shared" si="8"/>
        <v>-9994</v>
      </c>
      <c r="AI8" s="56">
        <f t="shared" ref="AI8:AI9" si="11">P8-O8</f>
        <v>-10411</v>
      </c>
      <c r="AJ8" s="56">
        <f>Q8-P8</f>
        <v>-10380</v>
      </c>
      <c r="AK8" s="56">
        <f>R8-Q8</f>
        <v>-11204</v>
      </c>
      <c r="AL8" s="56">
        <f t="shared" si="9"/>
        <v>-9156</v>
      </c>
      <c r="AM8" s="56">
        <f t="shared" si="4"/>
        <v>-11719</v>
      </c>
      <c r="AN8" s="56">
        <f t="shared" si="4"/>
        <v>-10446</v>
      </c>
      <c r="AO8" s="56">
        <f t="shared" si="4"/>
        <v>-10541</v>
      </c>
      <c r="AP8" s="56">
        <f t="shared" si="10"/>
        <v>-9902.767924062804</v>
      </c>
      <c r="AQ8" s="56">
        <f t="shared" si="5"/>
        <v>-10821.938715162798</v>
      </c>
      <c r="AR8" s="57">
        <f t="shared" si="5"/>
        <v>-10732.481798188397</v>
      </c>
    </row>
    <row r="9" spans="2:44" s="10" customFormat="1" ht="15" thickBot="1" x14ac:dyDescent="0.3">
      <c r="D9" s="48" t="s">
        <v>102</v>
      </c>
      <c r="E9" s="56">
        <v>-460</v>
      </c>
      <c r="F9" s="56">
        <v>102.78219999999999</v>
      </c>
      <c r="G9" s="56">
        <v>33</v>
      </c>
      <c r="H9" s="56">
        <v>-120</v>
      </c>
      <c r="I9" s="56">
        <v>-215.857</v>
      </c>
      <c r="J9" s="56">
        <v>-311</v>
      </c>
      <c r="K9" s="56">
        <v>-60</v>
      </c>
      <c r="L9" s="56">
        <v>-91</v>
      </c>
      <c r="M9" s="56">
        <v>-91.850300000000004</v>
      </c>
      <c r="N9" s="56">
        <v>-5</v>
      </c>
      <c r="O9" s="56">
        <v>-61</v>
      </c>
      <c r="P9" s="56">
        <v>-121</v>
      </c>
      <c r="Q9" s="56">
        <v>-181</v>
      </c>
      <c r="R9" s="56">
        <v>-241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7">
        <v>0</v>
      </c>
      <c r="Z9" s="79" t="s">
        <v>7</v>
      </c>
      <c r="AA9" s="13"/>
      <c r="AB9" s="56">
        <f>I9-H9</f>
        <v>-95.856999999999999</v>
      </c>
      <c r="AC9" s="56">
        <f t="shared" si="6"/>
        <v>-95.143000000000001</v>
      </c>
      <c r="AD9" s="56">
        <f t="shared" si="7"/>
        <v>-60</v>
      </c>
      <c r="AE9" s="56">
        <f t="shared" si="1"/>
        <v>-31</v>
      </c>
      <c r="AF9" s="56">
        <f>M9-L9</f>
        <v>-0.85030000000000427</v>
      </c>
      <c r="AG9" s="56">
        <f t="shared" si="2"/>
        <v>86.850300000000004</v>
      </c>
      <c r="AH9" s="56">
        <f t="shared" si="8"/>
        <v>-61</v>
      </c>
      <c r="AI9" s="56">
        <f t="shared" si="11"/>
        <v>-60</v>
      </c>
      <c r="AJ9" s="56">
        <f>Q9-P9</f>
        <v>-60</v>
      </c>
      <c r="AK9" s="56">
        <f>R9-Q9</f>
        <v>-60</v>
      </c>
      <c r="AL9" s="56">
        <f t="shared" si="9"/>
        <v>0</v>
      </c>
      <c r="AM9" s="56">
        <f t="shared" si="4"/>
        <v>0</v>
      </c>
      <c r="AN9" s="56">
        <f t="shared" si="4"/>
        <v>0</v>
      </c>
      <c r="AO9" s="56">
        <f t="shared" si="4"/>
        <v>0</v>
      </c>
      <c r="AP9" s="56">
        <f t="shared" si="10"/>
        <v>0</v>
      </c>
      <c r="AQ9" s="56">
        <f t="shared" si="5"/>
        <v>0</v>
      </c>
      <c r="AR9" s="57">
        <f t="shared" si="5"/>
        <v>0</v>
      </c>
    </row>
    <row r="10" spans="2:44" s="10" customFormat="1" ht="15" thickBot="1" x14ac:dyDescent="0.3">
      <c r="D10" s="42" t="s">
        <v>56</v>
      </c>
      <c r="E10" s="59">
        <f>SUM(E6:E9)</f>
        <v>8694</v>
      </c>
      <c r="F10" s="59">
        <f>SUM(F6:F9)</f>
        <v>8624.6461006365043</v>
      </c>
      <c r="G10" s="59">
        <f>SUM(G6:G9)</f>
        <v>12347</v>
      </c>
      <c r="H10" s="59">
        <f t="shared" ref="H10:Q10" si="12">SUM(H6:H9)</f>
        <v>6096</v>
      </c>
      <c r="I10" s="59">
        <f t="shared" si="12"/>
        <v>5427.2184072479686</v>
      </c>
      <c r="J10" s="59">
        <f t="shared" si="12"/>
        <v>6684</v>
      </c>
      <c r="K10" s="59">
        <f t="shared" si="12"/>
        <v>500</v>
      </c>
      <c r="L10" s="59">
        <f t="shared" si="12"/>
        <v>5090</v>
      </c>
      <c r="M10" s="59">
        <f t="shared" si="12"/>
        <v>8590.3283707111495</v>
      </c>
      <c r="N10" s="59">
        <f t="shared" si="12"/>
        <v>13171</v>
      </c>
      <c r="O10" s="59">
        <f t="shared" si="12"/>
        <v>2338</v>
      </c>
      <c r="P10" s="59">
        <f t="shared" si="12"/>
        <v>6312</v>
      </c>
      <c r="Q10" s="59">
        <f t="shared" si="12"/>
        <v>6339</v>
      </c>
      <c r="R10" s="59">
        <f>SUM(R6:R9)</f>
        <v>5729</v>
      </c>
      <c r="S10" s="94">
        <f t="shared" ref="S10:Y10" si="13">SUM(S6:S9)</f>
        <v>529</v>
      </c>
      <c r="T10" s="94">
        <f t="shared" si="13"/>
        <v>2787</v>
      </c>
      <c r="U10" s="94">
        <f t="shared" si="13"/>
        <v>2394</v>
      </c>
      <c r="V10" s="94">
        <f t="shared" si="13"/>
        <v>2780</v>
      </c>
      <c r="W10" s="94">
        <f t="shared" si="13"/>
        <v>853.53229508716504</v>
      </c>
      <c r="X10" s="94">
        <f t="shared" si="13"/>
        <v>8911.8373657743796</v>
      </c>
      <c r="Y10" s="60">
        <f t="shared" si="13"/>
        <v>12379.846439535999</v>
      </c>
      <c r="Z10" s="95">
        <f>+Y10/U10-1</f>
        <v>4.1711973431645779</v>
      </c>
      <c r="AA10" s="13"/>
      <c r="AB10" s="59">
        <f t="shared" ref="AB10:AG10" si="14">SUM(AB6:AB9)</f>
        <v>-668.78159275203143</v>
      </c>
      <c r="AC10" s="59">
        <f t="shared" si="14"/>
        <v>1256.7815927520314</v>
      </c>
      <c r="AD10" s="59">
        <f t="shared" si="14"/>
        <v>500</v>
      </c>
      <c r="AE10" s="59">
        <f t="shared" si="14"/>
        <v>4590</v>
      </c>
      <c r="AF10" s="59">
        <f>SUM(AF6:AF9)</f>
        <v>3500.3283707111495</v>
      </c>
      <c r="AG10" s="59">
        <f t="shared" si="14"/>
        <v>4580.6716292888505</v>
      </c>
      <c r="AH10" s="59">
        <f t="shared" ref="AH10:AJ10" si="15">SUM(AH6:AH9)</f>
        <v>2338</v>
      </c>
      <c r="AI10" s="59">
        <f t="shared" si="15"/>
        <v>3974</v>
      </c>
      <c r="AJ10" s="59">
        <f t="shared" si="15"/>
        <v>27</v>
      </c>
      <c r="AK10" s="59">
        <f>SUM(AK6:AK9)</f>
        <v>-610</v>
      </c>
      <c r="AL10" s="59">
        <f>SUM(AL6:AL9)</f>
        <v>529</v>
      </c>
      <c r="AM10" s="59">
        <f>SUM(AM6:AM9)</f>
        <v>2258</v>
      </c>
      <c r="AN10" s="59">
        <f>SUM(AN6:AN9)</f>
        <v>-393</v>
      </c>
      <c r="AO10" s="59">
        <f>SUM(AO6:AO9)</f>
        <v>386</v>
      </c>
      <c r="AP10" s="59">
        <f t="shared" ref="AP10" si="16">SUM(AP6:AP9)</f>
        <v>853.53229508716504</v>
      </c>
      <c r="AQ10" s="59">
        <f t="shared" si="5"/>
        <v>8058.3050706872145</v>
      </c>
      <c r="AR10" s="60">
        <f t="shared" si="5"/>
        <v>3468.0090737616192</v>
      </c>
    </row>
    <row r="11" spans="2:44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9"/>
      <c r="AA11" s="13"/>
      <c r="AB11" s="45"/>
      <c r="AC11" s="45"/>
      <c r="AD11" s="45"/>
      <c r="AE11" s="45"/>
      <c r="AF11" s="45"/>
      <c r="AG11" s="45"/>
      <c r="AH11" s="45"/>
      <c r="AI11" s="45"/>
    </row>
    <row r="12" spans="2:44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27" t="s">
        <v>46</v>
      </c>
      <c r="AA12" s="13"/>
      <c r="AB12" s="81"/>
      <c r="AC12" s="81"/>
      <c r="AD12" s="81"/>
      <c r="AE12" s="81"/>
      <c r="AF12" s="81"/>
      <c r="AG12" s="81"/>
      <c r="AH12" s="81"/>
      <c r="AI12" s="81"/>
      <c r="AN12" s="27"/>
      <c r="AO12" s="27"/>
      <c r="AP12" s="27"/>
      <c r="AQ12" s="27"/>
      <c r="AR12" s="27" t="s">
        <v>46</v>
      </c>
    </row>
    <row r="13" spans="2:44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13"/>
      <c r="AB13" s="81"/>
      <c r="AC13" s="81"/>
      <c r="AD13" s="81"/>
      <c r="AE13" s="81"/>
      <c r="AF13" s="81"/>
      <c r="AG13" s="81"/>
      <c r="AH13" s="81"/>
      <c r="AI13" s="81"/>
    </row>
    <row r="14" spans="2:44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9"/>
      <c r="AA14" s="13"/>
      <c r="AB14" s="45"/>
      <c r="AC14" s="45"/>
      <c r="AD14" s="45"/>
      <c r="AE14" s="45"/>
      <c r="AF14" s="45"/>
      <c r="AG14" s="45"/>
      <c r="AH14" s="45"/>
      <c r="AI14" s="45"/>
    </row>
    <row r="15" spans="2:44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215</v>
      </c>
      <c r="Y15" s="74" t="s">
        <v>219</v>
      </c>
      <c r="Z15" s="82" t="s">
        <v>2</v>
      </c>
      <c r="AA15" s="13"/>
      <c r="AB15" s="47" t="s">
        <v>110</v>
      </c>
      <c r="AC15" s="47" t="s">
        <v>111</v>
      </c>
      <c r="AD15" s="47" t="s">
        <v>112</v>
      </c>
      <c r="AE15" s="47" t="s">
        <v>113</v>
      </c>
      <c r="AF15" s="47" t="s">
        <v>114</v>
      </c>
      <c r="AG15" s="47" t="s">
        <v>115</v>
      </c>
      <c r="AH15" s="47" t="s">
        <v>116</v>
      </c>
      <c r="AI15" s="47" t="s">
        <v>117</v>
      </c>
      <c r="AJ15" s="47" t="s">
        <v>118</v>
      </c>
      <c r="AK15" s="47" t="s">
        <v>119</v>
      </c>
      <c r="AL15" s="47" t="s">
        <v>62</v>
      </c>
      <c r="AM15" s="47" t="s">
        <v>63</v>
      </c>
      <c r="AN15" s="47" t="s">
        <v>64</v>
      </c>
      <c r="AO15" s="47" t="s">
        <v>65</v>
      </c>
      <c r="AP15" s="47" t="s">
        <v>191</v>
      </c>
      <c r="AQ15" s="47" t="s">
        <v>216</v>
      </c>
      <c r="AR15" s="74" t="s">
        <v>220</v>
      </c>
    </row>
    <row r="16" spans="2:44" s="10" customFormat="1" x14ac:dyDescent="0.25">
      <c r="D16" s="48" t="s">
        <v>60</v>
      </c>
      <c r="E16" s="49">
        <f>-E7/E6</f>
        <v>0.52177347791268969</v>
      </c>
      <c r="F16" s="49">
        <f t="shared" ref="F16" si="17">-F7/F6</f>
        <v>0.52254440468725705</v>
      </c>
      <c r="G16" s="49">
        <f>-G7/G6</f>
        <v>0.51760179232417691</v>
      </c>
      <c r="H16" s="49">
        <f t="shared" ref="H16:Q16" si="18">-H7/H6</f>
        <v>0.52299019969051652</v>
      </c>
      <c r="I16" s="49">
        <f t="shared" si="18"/>
        <v>0.55707220496621823</v>
      </c>
      <c r="J16" s="49">
        <f t="shared" si="18"/>
        <v>0.57086762411919745</v>
      </c>
      <c r="K16" s="49">
        <f t="shared" si="18"/>
        <v>0.63701872867785281</v>
      </c>
      <c r="L16" s="49">
        <f t="shared" si="18"/>
        <v>0.57482034178042152</v>
      </c>
      <c r="M16" s="49">
        <f t="shared" si="18"/>
        <v>0.56376616824846848</v>
      </c>
      <c r="N16" s="49">
        <f t="shared" si="18"/>
        <v>0.5543349542694449</v>
      </c>
      <c r="O16" s="49">
        <f t="shared" si="18"/>
        <v>0.59882817557943802</v>
      </c>
      <c r="P16" s="49">
        <f t="shared" si="18"/>
        <v>0.57414195268243917</v>
      </c>
      <c r="Q16" s="49">
        <f t="shared" si="18"/>
        <v>0.61238336692919926</v>
      </c>
      <c r="R16" s="49">
        <f>-R7/R6</f>
        <v>0.63051333215201966</v>
      </c>
      <c r="S16" s="49">
        <f>-S7/S6</f>
        <v>0.71872912612900419</v>
      </c>
      <c r="T16" s="49">
        <f>-T7/T6</f>
        <v>0.66120187282541776</v>
      </c>
      <c r="U16" s="49">
        <f>-U7/U6</f>
        <v>0.68120012103332195</v>
      </c>
      <c r="V16" s="49">
        <f>-V7/V6</f>
        <v>0.68552227450759395</v>
      </c>
      <c r="W16" s="49">
        <f t="shared" ref="W16:Y16" si="19">-W7/W6</f>
        <v>0.70113450163447788</v>
      </c>
      <c r="X16" s="49">
        <f t="shared" si="19"/>
        <v>0.59324131445538986</v>
      </c>
      <c r="Y16" s="50">
        <f t="shared" si="19"/>
        <v>0.60379388824953617</v>
      </c>
      <c r="Z16" s="69">
        <f>(Y16-U16)*100</f>
        <v>-7.7406232783785782</v>
      </c>
      <c r="AA16" s="13"/>
      <c r="AB16" s="49">
        <f t="shared" ref="AB16" si="20">-AB7/AB6</f>
        <v>0.62249080034863247</v>
      </c>
      <c r="AC16" s="49">
        <f>-AC7/AC6</f>
        <v>0.61017000343536143</v>
      </c>
      <c r="AD16" s="49">
        <f t="shared" ref="AD16:AN16" si="21">-AD7/AD6</f>
        <v>0.63701872867785281</v>
      </c>
      <c r="AE16" s="49">
        <f t="shared" si="21"/>
        <v>0.51413043478260867</v>
      </c>
      <c r="AF16" s="49">
        <f t="shared" si="21"/>
        <v>0.5424206793289551</v>
      </c>
      <c r="AG16" s="49">
        <f t="shared" si="21"/>
        <v>0.527281537827338</v>
      </c>
      <c r="AH16" s="49">
        <f t="shared" si="21"/>
        <v>0.59882817557943802</v>
      </c>
      <c r="AI16" s="49">
        <f t="shared" si="21"/>
        <v>0.5504061751066015</v>
      </c>
      <c r="AJ16" s="49">
        <f t="shared" si="21"/>
        <v>0.68492820806116617</v>
      </c>
      <c r="AK16" s="49">
        <f t="shared" si="21"/>
        <v>0.68251035551449768</v>
      </c>
      <c r="AL16" s="49">
        <f t="shared" si="21"/>
        <v>0.71872912612900419</v>
      </c>
      <c r="AM16" s="49">
        <f t="shared" si="21"/>
        <v>0.60525869859918657</v>
      </c>
      <c r="AN16" s="49">
        <f t="shared" si="21"/>
        <v>0.7200890992621467</v>
      </c>
      <c r="AO16" s="49">
        <f t="shared" ref="AO16:AP16" si="22">-AO7/AO6</f>
        <v>0.69814917127071818</v>
      </c>
      <c r="AP16" s="49">
        <f t="shared" si="22"/>
        <v>0.70113450163447788</v>
      </c>
      <c r="AQ16" s="49">
        <f t="shared" ref="AQ16:AR16" si="23">-AQ7/AQ6</f>
        <v>0.48792149553591557</v>
      </c>
      <c r="AR16" s="50">
        <f t="shared" si="23"/>
        <v>0.6241440201248164</v>
      </c>
    </row>
    <row r="17" spans="4:44" s="10" customFormat="1" ht="15" thickBot="1" x14ac:dyDescent="0.3">
      <c r="D17" s="48" t="s">
        <v>61</v>
      </c>
      <c r="E17" s="49">
        <f>-(E8+E9)/E6</f>
        <v>0.38414172239897842</v>
      </c>
      <c r="F17" s="49">
        <f t="shared" ref="F17" si="24">-(F8+F9)/F6</f>
        <v>0.36400403948880483</v>
      </c>
      <c r="G17" s="49">
        <f>-(G8+G9)/G6</f>
        <v>0.36212741087083578</v>
      </c>
      <c r="H17" s="49">
        <f t="shared" ref="H17:Q17" si="25">-(H8+H9)/H6</f>
        <v>0.36471151720580652</v>
      </c>
      <c r="I17" s="49">
        <f t="shared" si="25"/>
        <v>0.37719517093962135</v>
      </c>
      <c r="J17" s="49">
        <f t="shared" si="25"/>
        <v>0.36921090850411492</v>
      </c>
      <c r="K17" s="49">
        <f t="shared" si="25"/>
        <v>0.34557543688644432</v>
      </c>
      <c r="L17" s="49">
        <f t="shared" si="25"/>
        <v>0.33767149193687035</v>
      </c>
      <c r="M17" s="49">
        <f t="shared" si="25"/>
        <v>0.33893532223017464</v>
      </c>
      <c r="N17" s="49">
        <f t="shared" si="25"/>
        <v>0.33504665440466291</v>
      </c>
      <c r="O17" s="49">
        <f t="shared" si="25"/>
        <v>0.32548879968923994</v>
      </c>
      <c r="P17" s="49">
        <f t="shared" si="25"/>
        <v>0.32570095682391581</v>
      </c>
      <c r="Q17" s="49">
        <f t="shared" si="25"/>
        <v>0.32175141829970283</v>
      </c>
      <c r="R17" s="49">
        <f>-(R8+R9)/R6</f>
        <v>0.32534919375341875</v>
      </c>
      <c r="S17" s="49">
        <f>-(S8+S9)/S6</f>
        <v>0.26590770481805243</v>
      </c>
      <c r="T17" s="49">
        <f>-(T8+T9)/T6</f>
        <v>0.29889320026918287</v>
      </c>
      <c r="U17" s="49">
        <f>-(U8+U9)/U6</f>
        <v>0.29616286546389803</v>
      </c>
      <c r="V17" s="49">
        <f>-(V8+V9)/V6</f>
        <v>0.29489419256671079</v>
      </c>
      <c r="W17" s="49">
        <f t="shared" ref="W17:Y17" si="26">-(W8+W9)/W6</f>
        <v>0.27514996890417981</v>
      </c>
      <c r="X17" s="49">
        <f t="shared" si="26"/>
        <v>0.28444458400570738</v>
      </c>
      <c r="Y17" s="50">
        <f t="shared" si="26"/>
        <v>0.28431508546083062</v>
      </c>
      <c r="Z17" s="69">
        <f t="shared" ref="Z17:Z18" si="27">(Y17-U17)*100</f>
        <v>-1.184778000306741</v>
      </c>
      <c r="AA17" s="13"/>
      <c r="AB17" s="49">
        <f t="shared" ref="AB17" si="28">-(AB8+AB9)/AB6</f>
        <v>0.40115687993826482</v>
      </c>
      <c r="AC17" s="49">
        <f>-(AC8+AC9)/AC6</f>
        <v>0.34646419038556425</v>
      </c>
      <c r="AD17" s="49">
        <f t="shared" ref="AD17:AN17" si="29">-(AD8+AD9)/AD6</f>
        <v>0.34557543688644432</v>
      </c>
      <c r="AE17" s="49">
        <f t="shared" si="29"/>
        <v>0.32995923913043479</v>
      </c>
      <c r="AF17" s="49">
        <f t="shared" si="29"/>
        <v>0.34137576478735854</v>
      </c>
      <c r="AG17" s="49">
        <f t="shared" si="29"/>
        <v>0.32389201934680334</v>
      </c>
      <c r="AH17" s="49">
        <f t="shared" si="29"/>
        <v>0.32548879968923994</v>
      </c>
      <c r="AI17" s="49">
        <f t="shared" si="29"/>
        <v>0.32590494568769646</v>
      </c>
      <c r="AJ17" s="49">
        <f t="shared" si="29"/>
        <v>0.3142590530086391</v>
      </c>
      <c r="AK17" s="49">
        <f t="shared" si="29"/>
        <v>0.3356676699347379</v>
      </c>
      <c r="AL17" s="49">
        <f t="shared" si="29"/>
        <v>0.26590770481805243</v>
      </c>
      <c r="AM17" s="49">
        <f t="shared" si="29"/>
        <v>0.33097040216900137</v>
      </c>
      <c r="AN17" s="49">
        <f t="shared" si="29"/>
        <v>0.29085340387024922</v>
      </c>
      <c r="AO17" s="49">
        <f t="shared" ref="AO17:AP17" si="30">-(AO8+AO9)/AO6</f>
        <v>0.29118784530386738</v>
      </c>
      <c r="AP17" s="49">
        <f t="shared" si="30"/>
        <v>0.27514996890417981</v>
      </c>
      <c r="AQ17" s="49">
        <f t="shared" ref="AQ17:AR17" si="31">-(AQ8+AQ9)/AQ6</f>
        <v>0.29351751256600883</v>
      </c>
      <c r="AR17" s="50">
        <f t="shared" si="31"/>
        <v>0.2840653537349685</v>
      </c>
    </row>
    <row r="18" spans="4:44" s="10" customFormat="1" ht="15" thickBot="1" x14ac:dyDescent="0.3">
      <c r="D18" s="42" t="s">
        <v>55</v>
      </c>
      <c r="E18" s="51">
        <f>-(E7+E8+E9)/E6</f>
        <v>0.90591520031166806</v>
      </c>
      <c r="F18" s="51">
        <f t="shared" ref="F18" si="32">-(F7+F8+F9)/F6</f>
        <v>0.88654844417606171</v>
      </c>
      <c r="G18" s="51">
        <f>-(G7+G8+G9)/G6</f>
        <v>0.87972920319501269</v>
      </c>
      <c r="H18" s="51">
        <f t="shared" ref="H18:Q18" si="33">-(H7+H8+H9)/H6</f>
        <v>0.88770171689632305</v>
      </c>
      <c r="I18" s="51">
        <f t="shared" si="33"/>
        <v>0.93426737590583953</v>
      </c>
      <c r="J18" s="51">
        <f t="shared" si="33"/>
        <v>0.94007853262331231</v>
      </c>
      <c r="K18" s="51">
        <f t="shared" si="33"/>
        <v>0.98259416556429713</v>
      </c>
      <c r="L18" s="51">
        <f t="shared" si="33"/>
        <v>0.91249183371729192</v>
      </c>
      <c r="M18" s="51">
        <f t="shared" si="33"/>
        <v>0.90270149047864334</v>
      </c>
      <c r="N18" s="51">
        <f t="shared" si="33"/>
        <v>0.88938160867410787</v>
      </c>
      <c r="O18" s="51">
        <f t="shared" si="33"/>
        <v>0.92431697526867795</v>
      </c>
      <c r="P18" s="51">
        <f t="shared" si="33"/>
        <v>0.89984290950635504</v>
      </c>
      <c r="Q18" s="51">
        <f t="shared" si="33"/>
        <v>0.93413478522890214</v>
      </c>
      <c r="R18" s="51">
        <f>-(R7+R8+R9)/R6</f>
        <v>0.95586252590543841</v>
      </c>
      <c r="S18" s="51">
        <f>-(S7+S8+S9)/S6</f>
        <v>0.98463683094705656</v>
      </c>
      <c r="T18" s="51">
        <f>-(T7+T8+T9)/T6</f>
        <v>0.96009507309460063</v>
      </c>
      <c r="U18" s="51">
        <f>-(U7+U8+U9)/U6</f>
        <v>0.97736298649721998</v>
      </c>
      <c r="V18" s="51">
        <f>-(V7+V8+V9)/V6</f>
        <v>0.98041646707430474</v>
      </c>
      <c r="W18" s="51">
        <f t="shared" ref="W18:Y18" si="34">-(W7+W8+W9)/W6</f>
        <v>0.97628447053865774</v>
      </c>
      <c r="X18" s="51">
        <f t="shared" si="34"/>
        <v>0.87768589846109724</v>
      </c>
      <c r="Y18" s="52">
        <f t="shared" si="34"/>
        <v>0.88810897371036679</v>
      </c>
      <c r="Z18" s="83">
        <f t="shared" si="27"/>
        <v>-8.9254012786853192</v>
      </c>
      <c r="AA18" s="13"/>
      <c r="AB18" s="51">
        <f t="shared" ref="AB18" si="35">-(AB7+AB8+AB9)/AB6</f>
        <v>1.0236476802868972</v>
      </c>
      <c r="AC18" s="51">
        <f>-(AC7+AC8+AC9)/AC6</f>
        <v>0.95663419382092563</v>
      </c>
      <c r="AD18" s="51">
        <f t="shared" ref="AD18:AN18" si="36">-(AD7+AD8+AD9)/AD6</f>
        <v>0.98259416556429713</v>
      </c>
      <c r="AE18" s="51">
        <f t="shared" si="36"/>
        <v>0.84408967391304346</v>
      </c>
      <c r="AF18" s="51">
        <f t="shared" si="36"/>
        <v>0.88379644411631353</v>
      </c>
      <c r="AG18" s="51">
        <f t="shared" si="36"/>
        <v>0.85117355717414145</v>
      </c>
      <c r="AH18" s="51">
        <f t="shared" si="36"/>
        <v>0.92431697526867795</v>
      </c>
      <c r="AI18" s="51">
        <f t="shared" si="36"/>
        <v>0.87631112079429796</v>
      </c>
      <c r="AJ18" s="51">
        <f t="shared" si="36"/>
        <v>0.99918726106980527</v>
      </c>
      <c r="AK18" s="51">
        <f t="shared" si="36"/>
        <v>1.0181780254492356</v>
      </c>
      <c r="AL18" s="51">
        <f t="shared" si="36"/>
        <v>0.98463683094705656</v>
      </c>
      <c r="AM18" s="51">
        <f t="shared" si="36"/>
        <v>0.93622910076818799</v>
      </c>
      <c r="AN18" s="51">
        <f t="shared" si="36"/>
        <v>1.010942503132396</v>
      </c>
      <c r="AO18" s="51">
        <f t="shared" ref="AO18:AP18" si="37">-(AO7+AO8+AO9)/AO6</f>
        <v>0.98933701657458561</v>
      </c>
      <c r="AP18" s="51">
        <f t="shared" si="37"/>
        <v>0.97628447053865774</v>
      </c>
      <c r="AQ18" s="51">
        <f t="shared" ref="AQ18:AR18" si="38">-(AQ7+AQ8+AQ9)/AQ6</f>
        <v>0.78143900810192435</v>
      </c>
      <c r="AR18" s="52">
        <f t="shared" si="38"/>
        <v>0.90820937385978484</v>
      </c>
    </row>
    <row r="19" spans="4:44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96"/>
      <c r="T19" s="96"/>
      <c r="U19" s="96"/>
      <c r="V19" s="96"/>
      <c r="W19" s="96"/>
      <c r="X19" s="96"/>
      <c r="Y19" s="96"/>
      <c r="Z19" s="64"/>
      <c r="AA19" s="45"/>
    </row>
    <row r="20" spans="4:44" s="10" customFormat="1" x14ac:dyDescent="0.25">
      <c r="S20" s="97"/>
      <c r="T20" s="97"/>
      <c r="U20" s="97"/>
      <c r="V20" s="97"/>
      <c r="W20" s="97"/>
      <c r="X20" s="97"/>
      <c r="Y20" s="97"/>
      <c r="Z20" s="90"/>
      <c r="AA20" s="81"/>
    </row>
  </sheetData>
  <hyperlinks>
    <hyperlink ref="B2" location="'Financial Supplement&gt;&gt;&gt;'!A1" display="ÍNDICE" xr:uid="{B67DFDA2-5944-4426-8D4F-1759C8A95C9A}"/>
  </hyperlinks>
  <pageMargins left="0.7" right="0.7" top="0.75" bottom="0.75" header="0.3" footer="0.3"/>
  <pageSetup paperSize="9" scale="71" orientation="landscape" r:id="rId1"/>
  <ignoredErrors>
    <ignoredError sqref="E10:R10 S10:Y10" formulaRange="1"/>
    <ignoredError sqref="AD5:AM10 AP5:AP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R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customWidth="1" collapsed="1"/>
    <col min="22" max="22" width="11" style="73" customWidth="1"/>
    <col min="23" max="24" width="11" style="73" hidden="1" customWidth="1" outlineLevel="1"/>
    <col min="25" max="25" width="11" style="73" customWidth="1" collapsed="1"/>
    <col min="26" max="26" width="11" style="73" customWidth="1"/>
    <col min="27" max="27" width="3" style="13" customWidth="1"/>
    <col min="28" max="16384" width="10.85546875" style="73"/>
  </cols>
  <sheetData>
    <row r="1" spans="2:44" ht="16.5" customHeight="1" x14ac:dyDescent="0.2"/>
    <row r="2" spans="2:44" ht="18.75" customHeight="1" thickBot="1" x14ac:dyDescent="0.25">
      <c r="B2" s="11" t="s">
        <v>32</v>
      </c>
      <c r="D2" s="14" t="s">
        <v>167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44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215</v>
      </c>
      <c r="Y4" s="74" t="s">
        <v>219</v>
      </c>
      <c r="Z4" s="98" t="s">
        <v>0</v>
      </c>
      <c r="AA4" s="13"/>
      <c r="AB4" s="47" t="s">
        <v>110</v>
      </c>
      <c r="AC4" s="47" t="s">
        <v>111</v>
      </c>
      <c r="AD4" s="47" t="s">
        <v>112</v>
      </c>
      <c r="AE4" s="47" t="s">
        <v>113</v>
      </c>
      <c r="AF4" s="47" t="s">
        <v>114</v>
      </c>
      <c r="AG4" s="47" t="s">
        <v>115</v>
      </c>
      <c r="AH4" s="47" t="s">
        <v>116</v>
      </c>
      <c r="AI4" s="47" t="s">
        <v>117</v>
      </c>
      <c r="AJ4" s="47" t="s">
        <v>118</v>
      </c>
      <c r="AK4" s="47" t="s">
        <v>119</v>
      </c>
      <c r="AL4" s="47" t="s">
        <v>62</v>
      </c>
      <c r="AM4" s="47" t="s">
        <v>63</v>
      </c>
      <c r="AN4" s="47" t="s">
        <v>64</v>
      </c>
      <c r="AO4" s="47" t="s">
        <v>65</v>
      </c>
      <c r="AP4" s="47" t="s">
        <v>191</v>
      </c>
      <c r="AQ4" s="47" t="s">
        <v>216</v>
      </c>
      <c r="AR4" s="74" t="s">
        <v>220</v>
      </c>
    </row>
    <row r="5" spans="2:44" s="10" customFormat="1" x14ac:dyDescent="0.25">
      <c r="D5" s="33" t="s">
        <v>54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76">
        <v>24336</v>
      </c>
      <c r="V5" s="76">
        <v>30384</v>
      </c>
      <c r="W5" s="76">
        <v>15579.069019999999</v>
      </c>
      <c r="X5" s="76">
        <v>21655.610789999999</v>
      </c>
      <c r="Y5" s="77">
        <v>26772.181279999997</v>
      </c>
      <c r="Z5" s="78">
        <f t="shared" ref="Z5:Z8" si="0">+Y5/U5-1</f>
        <v>0.10010606837606817</v>
      </c>
      <c r="AA5" s="13"/>
      <c r="AB5" s="76">
        <f>I5-H5</f>
        <v>3618.9996899999969</v>
      </c>
      <c r="AC5" s="76">
        <f>J5-I5</f>
        <v>4949.3531000000039</v>
      </c>
      <c r="AD5" s="76">
        <f>K5</f>
        <v>12002</v>
      </c>
      <c r="AE5" s="76">
        <f t="shared" ref="AE5:AG9" si="1">L5-K5</f>
        <v>4620</v>
      </c>
      <c r="AF5" s="76">
        <f t="shared" si="1"/>
        <v>4290.6946499999976</v>
      </c>
      <c r="AG5" s="76">
        <f t="shared" si="1"/>
        <v>5536.3053500000024</v>
      </c>
      <c r="AH5" s="76">
        <f t="shared" ref="AH5:AH8" si="2">O5</f>
        <v>13760</v>
      </c>
      <c r="AI5" s="76">
        <f t="shared" ref="AI5:AK9" si="3">P5-O5</f>
        <v>5088</v>
      </c>
      <c r="AJ5" s="76">
        <f t="shared" si="3"/>
        <v>4456</v>
      </c>
      <c r="AK5" s="76">
        <f t="shared" si="3"/>
        <v>5778</v>
      </c>
      <c r="AL5" s="76">
        <f>S5</f>
        <v>14335</v>
      </c>
      <c r="AM5" s="76">
        <f t="shared" ref="AM5:AO9" si="4">T5-S5</f>
        <v>5468</v>
      </c>
      <c r="AN5" s="76">
        <f t="shared" si="4"/>
        <v>4533</v>
      </c>
      <c r="AO5" s="76">
        <f t="shared" si="4"/>
        <v>6048</v>
      </c>
      <c r="AP5" s="76">
        <f>W5</f>
        <v>15579.069019999999</v>
      </c>
      <c r="AQ5" s="76">
        <f t="shared" ref="AQ5:AR10" si="5">X5-W5</f>
        <v>6076.5417699999998</v>
      </c>
      <c r="AR5" s="77">
        <f>Y5-X5</f>
        <v>5116.5704899999982</v>
      </c>
    </row>
    <row r="6" spans="2:44" s="10" customFormat="1" x14ac:dyDescent="0.25">
      <c r="D6" s="33" t="s">
        <v>101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76">
        <v>12204</v>
      </c>
      <c r="V6" s="76">
        <v>16105</v>
      </c>
      <c r="W6" s="76">
        <v>4320.6249299999981</v>
      </c>
      <c r="X6" s="76">
        <v>8729.2911799999929</v>
      </c>
      <c r="Y6" s="77">
        <v>13270.22517</v>
      </c>
      <c r="Z6" s="78">
        <f t="shared" si="0"/>
        <v>8.7366860865289997E-2</v>
      </c>
      <c r="AA6" s="13"/>
      <c r="AB6" s="76">
        <f>I6-H6</f>
        <v>2692.615569999989</v>
      </c>
      <c r="AC6" s="76">
        <f t="shared" ref="AC6:AC9" si="6">J6-I6</f>
        <v>4442.384430000011</v>
      </c>
      <c r="AD6" s="76">
        <f t="shared" ref="AD6:AD9" si="7">K6</f>
        <v>3056</v>
      </c>
      <c r="AE6" s="76">
        <f t="shared" si="1"/>
        <v>3286</v>
      </c>
      <c r="AF6" s="76">
        <f t="shared" si="1"/>
        <v>3518.6312800000014</v>
      </c>
      <c r="AG6" s="76">
        <f t="shared" si="1"/>
        <v>5120.3687199999986</v>
      </c>
      <c r="AH6" s="76">
        <f t="shared" si="2"/>
        <v>3754</v>
      </c>
      <c r="AI6" s="76">
        <f t="shared" si="3"/>
        <v>3856</v>
      </c>
      <c r="AJ6" s="76">
        <f t="shared" si="3"/>
        <v>3966</v>
      </c>
      <c r="AK6" s="76">
        <f t="shared" si="3"/>
        <v>4929</v>
      </c>
      <c r="AL6" s="76">
        <f t="shared" ref="AL6:AL9" si="8">S6</f>
        <v>4002</v>
      </c>
      <c r="AM6" s="76">
        <f t="shared" si="4"/>
        <v>4060</v>
      </c>
      <c r="AN6" s="76">
        <f t="shared" si="4"/>
        <v>4142</v>
      </c>
      <c r="AO6" s="76">
        <f t="shared" si="4"/>
        <v>3901</v>
      </c>
      <c r="AP6" s="76">
        <f t="shared" ref="AP6:AP9" si="9">W6</f>
        <v>4320.6249299999981</v>
      </c>
      <c r="AQ6" s="76">
        <f t="shared" si="5"/>
        <v>4408.6662499999948</v>
      </c>
      <c r="AR6" s="77">
        <f t="shared" si="5"/>
        <v>4540.9339900000068</v>
      </c>
    </row>
    <row r="7" spans="2:44" s="10" customFormat="1" x14ac:dyDescent="0.25">
      <c r="D7" s="48" t="s">
        <v>58</v>
      </c>
      <c r="E7" s="56">
        <v>-2866</v>
      </c>
      <c r="F7" s="56">
        <v>-5492.4931738313571</v>
      </c>
      <c r="G7" s="56">
        <v>-7856</v>
      </c>
      <c r="H7" s="56">
        <v>-5258</v>
      </c>
      <c r="I7" s="56">
        <v>-7858.8337416389977</v>
      </c>
      <c r="J7" s="56">
        <v>-10712</v>
      </c>
      <c r="K7" s="56">
        <v>-3153</v>
      </c>
      <c r="L7" s="56">
        <v>-6678</v>
      </c>
      <c r="M7" s="56">
        <v>-9731.433319279995</v>
      </c>
      <c r="N7" s="56">
        <v>-12951</v>
      </c>
      <c r="O7" s="56">
        <v>-3799</v>
      </c>
      <c r="P7" s="56">
        <v>-7530</v>
      </c>
      <c r="Q7" s="56">
        <v>-10535</v>
      </c>
      <c r="R7" s="56">
        <v>-14321</v>
      </c>
      <c r="S7" s="56">
        <v>-3806</v>
      </c>
      <c r="T7" s="56">
        <v>-7551</v>
      </c>
      <c r="U7" s="56">
        <v>-10775</v>
      </c>
      <c r="V7" s="56">
        <v>-14457</v>
      </c>
      <c r="W7" s="56">
        <v>-3813.7375814009961</v>
      </c>
      <c r="X7" s="56">
        <v>-7459.1253315560061</v>
      </c>
      <c r="Y7" s="57">
        <v>-10903.089705382994</v>
      </c>
      <c r="Z7" s="79">
        <f t="shared" si="0"/>
        <v>1.1887675673595721E-2</v>
      </c>
      <c r="AA7" s="13"/>
      <c r="AB7" s="56">
        <f>I7-H7</f>
        <v>-2600.8337416389977</v>
      </c>
      <c r="AC7" s="56">
        <f t="shared" si="6"/>
        <v>-2853.1662583610023</v>
      </c>
      <c r="AD7" s="56">
        <f t="shared" si="7"/>
        <v>-3153</v>
      </c>
      <c r="AE7" s="56">
        <f t="shared" si="1"/>
        <v>-3525</v>
      </c>
      <c r="AF7" s="56">
        <f t="shared" si="1"/>
        <v>-3053.433319279995</v>
      </c>
      <c r="AG7" s="56">
        <f t="shared" si="1"/>
        <v>-3219.566680720005</v>
      </c>
      <c r="AH7" s="56">
        <f t="shared" si="2"/>
        <v>-3799</v>
      </c>
      <c r="AI7" s="56">
        <f t="shared" si="3"/>
        <v>-3731</v>
      </c>
      <c r="AJ7" s="56">
        <f t="shared" si="3"/>
        <v>-3005</v>
      </c>
      <c r="AK7" s="56">
        <f t="shared" si="3"/>
        <v>-3786</v>
      </c>
      <c r="AL7" s="56">
        <f t="shared" si="8"/>
        <v>-3806</v>
      </c>
      <c r="AM7" s="56">
        <f t="shared" si="4"/>
        <v>-3745</v>
      </c>
      <c r="AN7" s="56">
        <f t="shared" si="4"/>
        <v>-3224</v>
      </c>
      <c r="AO7" s="56">
        <f t="shared" si="4"/>
        <v>-3682</v>
      </c>
      <c r="AP7" s="56">
        <f t="shared" si="9"/>
        <v>-3813.7375814009961</v>
      </c>
      <c r="AQ7" s="56">
        <f t="shared" si="5"/>
        <v>-3645.3877501550101</v>
      </c>
      <c r="AR7" s="57">
        <f t="shared" si="5"/>
        <v>-3443.9643738269879</v>
      </c>
    </row>
    <row r="8" spans="2:44" s="10" customFormat="1" x14ac:dyDescent="0.25">
      <c r="D8" s="48" t="s">
        <v>59</v>
      </c>
      <c r="E8" s="56">
        <v>-6083</v>
      </c>
      <c r="F8" s="56">
        <v>-5317.2468838576415</v>
      </c>
      <c r="G8" s="56">
        <v>-9085</v>
      </c>
      <c r="H8" s="56">
        <v>-2166</v>
      </c>
      <c r="I8" s="56">
        <v>-4556.8115809177998</v>
      </c>
      <c r="J8" s="56">
        <v>-8920</v>
      </c>
      <c r="K8" s="56">
        <v>-4</v>
      </c>
      <c r="L8" s="56">
        <v>-2567</v>
      </c>
      <c r="M8" s="56">
        <v>-5210.2223628648017</v>
      </c>
      <c r="N8" s="56">
        <v>-9147</v>
      </c>
      <c r="O8" s="56">
        <v>181</v>
      </c>
      <c r="P8" s="56">
        <v>-2330</v>
      </c>
      <c r="Q8" s="56">
        <v>-5563</v>
      </c>
      <c r="R8" s="56">
        <v>-9327</v>
      </c>
      <c r="S8" s="56">
        <v>-2581</v>
      </c>
      <c r="T8" s="56">
        <v>-5169</v>
      </c>
      <c r="U8" s="56">
        <v>-8540</v>
      </c>
      <c r="V8" s="56">
        <v>-12635</v>
      </c>
      <c r="W8" s="56">
        <v>-2267.5842226718</v>
      </c>
      <c r="X8" s="56">
        <v>-4818.4476353982018</v>
      </c>
      <c r="Y8" s="57">
        <v>-7737.1934154010005</v>
      </c>
      <c r="Z8" s="79">
        <f t="shared" si="0"/>
        <v>-9.4005454871077254E-2</v>
      </c>
      <c r="AA8" s="13"/>
      <c r="AB8" s="56">
        <f>I8-H8</f>
        <v>-2390.8115809177998</v>
      </c>
      <c r="AC8" s="56">
        <f t="shared" si="6"/>
        <v>-4363.1884190822002</v>
      </c>
      <c r="AD8" s="56">
        <f t="shared" si="7"/>
        <v>-4</v>
      </c>
      <c r="AE8" s="56">
        <f t="shared" si="1"/>
        <v>-2563</v>
      </c>
      <c r="AF8" s="56">
        <f t="shared" si="1"/>
        <v>-2643.2223628648017</v>
      </c>
      <c r="AG8" s="56">
        <f t="shared" si="1"/>
        <v>-3936.7776371351983</v>
      </c>
      <c r="AH8" s="56">
        <f t="shared" si="2"/>
        <v>181</v>
      </c>
      <c r="AI8" s="56">
        <f t="shared" si="3"/>
        <v>-2511</v>
      </c>
      <c r="AJ8" s="56">
        <f t="shared" si="3"/>
        <v>-3233</v>
      </c>
      <c r="AK8" s="56">
        <f t="shared" si="3"/>
        <v>-3764</v>
      </c>
      <c r="AL8" s="56">
        <f t="shared" si="8"/>
        <v>-2581</v>
      </c>
      <c r="AM8" s="56">
        <f t="shared" si="4"/>
        <v>-2588</v>
      </c>
      <c r="AN8" s="56">
        <f t="shared" si="4"/>
        <v>-3371</v>
      </c>
      <c r="AO8" s="56">
        <f t="shared" si="4"/>
        <v>-4095</v>
      </c>
      <c r="AP8" s="56">
        <f t="shared" si="9"/>
        <v>-2267.5842226718</v>
      </c>
      <c r="AQ8" s="56">
        <f t="shared" si="5"/>
        <v>-2550.8634127264017</v>
      </c>
      <c r="AR8" s="57">
        <f t="shared" si="5"/>
        <v>-2918.7457800027987</v>
      </c>
    </row>
    <row r="9" spans="2:44" s="10" customFormat="1" ht="15" thickBot="1" x14ac:dyDescent="0.3">
      <c r="D9" s="48" t="s">
        <v>102</v>
      </c>
      <c r="E9" s="56">
        <v>-240</v>
      </c>
      <c r="F9" s="56">
        <v>-180</v>
      </c>
      <c r="G9" s="56">
        <v>-153</v>
      </c>
      <c r="H9" s="56">
        <v>-121</v>
      </c>
      <c r="I9" s="56">
        <v>-199.06700000000001</v>
      </c>
      <c r="J9" s="56">
        <v>-278</v>
      </c>
      <c r="K9" s="56">
        <v>-60</v>
      </c>
      <c r="L9" s="56">
        <v>-103</v>
      </c>
      <c r="M9" s="56">
        <v>-128.2534</v>
      </c>
      <c r="N9" s="56">
        <v>-93</v>
      </c>
      <c r="O9" s="56">
        <v>-61</v>
      </c>
      <c r="P9" s="56">
        <v>-121</v>
      </c>
      <c r="Q9" s="56">
        <v>-182</v>
      </c>
      <c r="R9" s="56">
        <v>-243</v>
      </c>
      <c r="S9" s="56">
        <v>-1</v>
      </c>
      <c r="T9" s="56">
        <v>-1</v>
      </c>
      <c r="U9" s="56">
        <v>-2</v>
      </c>
      <c r="V9" s="56">
        <v>-3</v>
      </c>
      <c r="W9" s="56">
        <v>0</v>
      </c>
      <c r="X9" s="56">
        <v>0</v>
      </c>
      <c r="Y9" s="57">
        <v>0</v>
      </c>
      <c r="Z9" s="79">
        <f>+Y9/U9-1</f>
        <v>-1</v>
      </c>
      <c r="AA9" s="13"/>
      <c r="AB9" s="56">
        <f>I9-H9</f>
        <v>-78.067000000000007</v>
      </c>
      <c r="AC9" s="56">
        <f t="shared" si="6"/>
        <v>-78.932999999999993</v>
      </c>
      <c r="AD9" s="56">
        <f t="shared" si="7"/>
        <v>-60</v>
      </c>
      <c r="AE9" s="56">
        <f t="shared" si="1"/>
        <v>-43</v>
      </c>
      <c r="AF9" s="56">
        <f t="shared" si="1"/>
        <v>-25.253399999999999</v>
      </c>
      <c r="AG9" s="56">
        <f t="shared" si="1"/>
        <v>35.253399999999999</v>
      </c>
      <c r="AH9" s="56">
        <f>O9</f>
        <v>-61</v>
      </c>
      <c r="AI9" s="56">
        <f t="shared" si="3"/>
        <v>-60</v>
      </c>
      <c r="AJ9" s="56">
        <f t="shared" si="3"/>
        <v>-61</v>
      </c>
      <c r="AK9" s="56">
        <f t="shared" si="3"/>
        <v>-61</v>
      </c>
      <c r="AL9" s="56">
        <f t="shared" si="8"/>
        <v>-1</v>
      </c>
      <c r="AM9" s="56">
        <f t="shared" si="4"/>
        <v>0</v>
      </c>
      <c r="AN9" s="56">
        <f t="shared" si="4"/>
        <v>-1</v>
      </c>
      <c r="AO9" s="56">
        <f t="shared" si="4"/>
        <v>-1</v>
      </c>
      <c r="AP9" s="56">
        <f t="shared" si="9"/>
        <v>0</v>
      </c>
      <c r="AQ9" s="56">
        <f t="shared" si="5"/>
        <v>0</v>
      </c>
      <c r="AR9" s="57">
        <f t="shared" si="5"/>
        <v>0</v>
      </c>
    </row>
    <row r="10" spans="2:44" s="10" customFormat="1" ht="15" thickBot="1" x14ac:dyDescent="0.3">
      <c r="D10" s="42" t="s">
        <v>56</v>
      </c>
      <c r="E10" s="59">
        <f>SUM(E6:E9)</f>
        <v>-7042</v>
      </c>
      <c r="F10" s="59">
        <f>SUM(F6:F9)</f>
        <v>-6229.9020976889942</v>
      </c>
      <c r="G10" s="59">
        <f>SUM(G6:G9)</f>
        <v>-16346</v>
      </c>
      <c r="H10" s="59">
        <f t="shared" ref="H10:Q10" si="10">SUM(H6:H9)</f>
        <v>-2660</v>
      </c>
      <c r="I10" s="59">
        <f t="shared" si="10"/>
        <v>-5037.0967525568085</v>
      </c>
      <c r="J10" s="59">
        <f t="shared" si="10"/>
        <v>-7890</v>
      </c>
      <c r="K10" s="59">
        <f t="shared" si="10"/>
        <v>-161</v>
      </c>
      <c r="L10" s="59">
        <f t="shared" si="10"/>
        <v>-3006</v>
      </c>
      <c r="M10" s="59">
        <f t="shared" si="10"/>
        <v>-5209.2778021447948</v>
      </c>
      <c r="N10" s="59">
        <f t="shared" si="10"/>
        <v>-7210</v>
      </c>
      <c r="O10" s="59">
        <f t="shared" si="10"/>
        <v>75</v>
      </c>
      <c r="P10" s="59">
        <f t="shared" si="10"/>
        <v>-2371</v>
      </c>
      <c r="Q10" s="59">
        <f t="shared" si="10"/>
        <v>-4704</v>
      </c>
      <c r="R10" s="59">
        <f>SUM(R6:R9)</f>
        <v>-7386</v>
      </c>
      <c r="S10" s="59">
        <f t="shared" ref="S10:Y10" si="11">SUM(S6:S9)</f>
        <v>-2386</v>
      </c>
      <c r="T10" s="59">
        <f t="shared" si="11"/>
        <v>-4659</v>
      </c>
      <c r="U10" s="59">
        <f t="shared" si="11"/>
        <v>-7113</v>
      </c>
      <c r="V10" s="59">
        <f t="shared" si="11"/>
        <v>-10990</v>
      </c>
      <c r="W10" s="59">
        <f t="shared" si="11"/>
        <v>-1760.696874072798</v>
      </c>
      <c r="X10" s="59">
        <f t="shared" si="11"/>
        <v>-3548.281786954215</v>
      </c>
      <c r="Y10" s="60">
        <f t="shared" si="11"/>
        <v>-5370.0579507839948</v>
      </c>
      <c r="Z10" s="95">
        <f t="shared" ref="Z10" si="12">+Y10/U10-1</f>
        <v>-0.24503613794685863</v>
      </c>
      <c r="AA10" s="13"/>
      <c r="AB10" s="59">
        <f t="shared" ref="AB10:AJ10" si="13">SUM(AB6:AB9)</f>
        <v>-2377.0967525568085</v>
      </c>
      <c r="AC10" s="59">
        <f t="shared" si="13"/>
        <v>-2852.9032474431915</v>
      </c>
      <c r="AD10" s="59">
        <f t="shared" si="13"/>
        <v>-161</v>
      </c>
      <c r="AE10" s="59">
        <f t="shared" si="13"/>
        <v>-2845</v>
      </c>
      <c r="AF10" s="59">
        <f>SUM(AF6:AF9)</f>
        <v>-2203.2778021447953</v>
      </c>
      <c r="AG10" s="59">
        <f t="shared" si="13"/>
        <v>-2000.7221978552047</v>
      </c>
      <c r="AH10" s="59">
        <f t="shared" si="13"/>
        <v>75</v>
      </c>
      <c r="AI10" s="59">
        <f t="shared" si="13"/>
        <v>-2446</v>
      </c>
      <c r="AJ10" s="59">
        <f t="shared" si="13"/>
        <v>-2333</v>
      </c>
      <c r="AK10" s="59">
        <f>SUM(AK6:AK9)</f>
        <v>-2682</v>
      </c>
      <c r="AL10" s="59">
        <f>SUM(AL6:AL9)</f>
        <v>-2386</v>
      </c>
      <c r="AM10" s="59">
        <f>SUM(AM6:AM9)</f>
        <v>-2273</v>
      </c>
      <c r="AN10" s="59">
        <f>SUM(AN6:AN9)</f>
        <v>-2454</v>
      </c>
      <c r="AO10" s="59">
        <f>SUM(AO6:AO9)</f>
        <v>-3877</v>
      </c>
      <c r="AP10" s="59">
        <f t="shared" ref="AP10" si="14">SUM(AP6:AP9)</f>
        <v>-1760.696874072798</v>
      </c>
      <c r="AQ10" s="59">
        <f t="shared" si="5"/>
        <v>-1787.584912881417</v>
      </c>
      <c r="AR10" s="60">
        <f t="shared" si="5"/>
        <v>-1821.7761638297798</v>
      </c>
    </row>
    <row r="11" spans="2:44" s="10" customFormat="1" ht="9" customHeight="1" x14ac:dyDescent="0.25"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45"/>
      <c r="R11" s="45"/>
      <c r="S11" s="45"/>
      <c r="T11" s="45"/>
      <c r="U11" s="45"/>
      <c r="V11" s="45"/>
      <c r="W11" s="45"/>
      <c r="X11" s="45"/>
      <c r="Y11" s="45"/>
      <c r="Z11" s="64"/>
      <c r="AA11" s="13"/>
      <c r="AB11" s="63"/>
      <c r="AC11" s="63"/>
      <c r="AD11" s="63"/>
      <c r="AE11" s="63"/>
      <c r="AF11" s="63"/>
      <c r="AG11" s="63"/>
      <c r="AH11" s="63"/>
      <c r="AI11" s="63"/>
    </row>
    <row r="12" spans="2:44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1"/>
      <c r="R12" s="81"/>
      <c r="S12" s="81"/>
      <c r="T12" s="81"/>
      <c r="U12" s="81"/>
      <c r="V12" s="81"/>
      <c r="W12" s="81"/>
      <c r="X12" s="81"/>
      <c r="Y12" s="81"/>
      <c r="Z12" s="27" t="s">
        <v>46</v>
      </c>
      <c r="AA12" s="13"/>
      <c r="AB12" s="19"/>
      <c r="AC12" s="19"/>
      <c r="AD12" s="19"/>
      <c r="AE12" s="19"/>
      <c r="AF12" s="19"/>
      <c r="AG12" s="19"/>
      <c r="AH12" s="19"/>
      <c r="AI12" s="19"/>
      <c r="AL12" s="27"/>
      <c r="AN12" s="27"/>
      <c r="AO12" s="27"/>
      <c r="AP12" s="27"/>
      <c r="AQ12" s="27"/>
      <c r="AR12" s="27" t="s">
        <v>46</v>
      </c>
    </row>
    <row r="13" spans="2:44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1"/>
      <c r="R13" s="81"/>
      <c r="S13" s="81"/>
      <c r="T13" s="81"/>
      <c r="U13" s="81"/>
      <c r="V13" s="81"/>
      <c r="W13" s="81"/>
      <c r="X13" s="81"/>
      <c r="Y13" s="81"/>
      <c r="Z13" s="19"/>
      <c r="AA13" s="13"/>
      <c r="AB13" s="19"/>
      <c r="AC13" s="19"/>
      <c r="AD13" s="19"/>
      <c r="AE13" s="19"/>
      <c r="AF13" s="19"/>
      <c r="AG13" s="19"/>
      <c r="AH13" s="19"/>
      <c r="AI13" s="19"/>
    </row>
    <row r="14" spans="2:44" s="10" customFormat="1" x14ac:dyDescent="0.25">
      <c r="D14" s="3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45"/>
      <c r="R14" s="45"/>
      <c r="S14" s="45"/>
      <c r="T14" s="45"/>
      <c r="U14" s="45"/>
      <c r="V14" s="45"/>
      <c r="W14" s="45"/>
      <c r="X14" s="45"/>
      <c r="Y14" s="45"/>
      <c r="Z14" s="64"/>
      <c r="AA14" s="13"/>
      <c r="AB14" s="63"/>
      <c r="AC14" s="63"/>
      <c r="AD14" s="63"/>
      <c r="AE14" s="63"/>
      <c r="AF14" s="63"/>
      <c r="AG14" s="63"/>
      <c r="AH14" s="63"/>
      <c r="AI14" s="63"/>
    </row>
    <row r="15" spans="2:44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215</v>
      </c>
      <c r="Y15" s="74" t="s">
        <v>219</v>
      </c>
      <c r="Z15" s="99" t="s">
        <v>2</v>
      </c>
      <c r="AA15" s="13"/>
      <c r="AB15" s="47" t="s">
        <v>110</v>
      </c>
      <c r="AC15" s="47" t="s">
        <v>111</v>
      </c>
      <c r="AD15" s="47" t="s">
        <v>112</v>
      </c>
      <c r="AE15" s="47" t="s">
        <v>113</v>
      </c>
      <c r="AF15" s="47" t="s">
        <v>114</v>
      </c>
      <c r="AG15" s="47" t="s">
        <v>115</v>
      </c>
      <c r="AH15" s="47" t="s">
        <v>116</v>
      </c>
      <c r="AI15" s="47" t="s">
        <v>117</v>
      </c>
      <c r="AJ15" s="47" t="s">
        <v>118</v>
      </c>
      <c r="AK15" s="47" t="s">
        <v>119</v>
      </c>
      <c r="AL15" s="47" t="s">
        <v>62</v>
      </c>
      <c r="AM15" s="47" t="s">
        <v>63</v>
      </c>
      <c r="AN15" s="47" t="s">
        <v>64</v>
      </c>
      <c r="AO15" s="47" t="s">
        <v>65</v>
      </c>
      <c r="AP15" s="47" t="s">
        <v>191</v>
      </c>
      <c r="AQ15" s="47" t="s">
        <v>216</v>
      </c>
      <c r="AR15" s="74" t="s">
        <v>220</v>
      </c>
    </row>
    <row r="16" spans="2:44" s="10" customFormat="1" x14ac:dyDescent="0.25">
      <c r="D16" s="48" t="s">
        <v>60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:P16" si="15">-H7/H6</f>
        <v>1.0763561924257932</v>
      </c>
      <c r="I16" s="49">
        <f t="shared" si="15"/>
        <v>1.0371116968182392</v>
      </c>
      <c r="J16" s="49">
        <f t="shared" si="15"/>
        <v>0.89118136439267892</v>
      </c>
      <c r="K16" s="49">
        <f t="shared" si="15"/>
        <v>1.0317408376963351</v>
      </c>
      <c r="L16" s="49">
        <f t="shared" si="15"/>
        <v>1.0529801324503312</v>
      </c>
      <c r="M16" s="49">
        <f t="shared" si="15"/>
        <v>0.98689759742035432</v>
      </c>
      <c r="N16" s="49">
        <f t="shared" si="15"/>
        <v>0.86449502703424341</v>
      </c>
      <c r="O16" s="49">
        <f t="shared" si="15"/>
        <v>1.0119872136387853</v>
      </c>
      <c r="P16" s="49">
        <f t="shared" si="15"/>
        <v>0.98948751642575561</v>
      </c>
      <c r="Q16" s="49">
        <f t="shared" ref="Q16:Y16" si="16">-Q7/Q6</f>
        <v>0.91007256392536284</v>
      </c>
      <c r="R16" s="49">
        <f t="shared" si="16"/>
        <v>0.86767646167827928</v>
      </c>
      <c r="S16" s="49">
        <f t="shared" si="16"/>
        <v>0.95102448775612192</v>
      </c>
      <c r="T16" s="49">
        <f t="shared" si="16"/>
        <v>0.93661622426196978</v>
      </c>
      <c r="U16" s="49">
        <f t="shared" si="16"/>
        <v>0.88290724352671257</v>
      </c>
      <c r="V16" s="49">
        <f t="shared" si="16"/>
        <v>0.89767153058056504</v>
      </c>
      <c r="W16" s="49">
        <f t="shared" si="16"/>
        <v>0.88268193680051688</v>
      </c>
      <c r="X16" s="49">
        <f t="shared" si="16"/>
        <v>0.854493816020926</v>
      </c>
      <c r="Y16" s="50">
        <f t="shared" si="16"/>
        <v>0.82162055019470281</v>
      </c>
      <c r="Z16" s="69">
        <f>(Y16-U16)*100</f>
        <v>-6.1286693332009756</v>
      </c>
      <c r="AA16" s="13"/>
      <c r="AB16" s="49">
        <f t="shared" ref="AB16" si="17">-AB7/AB6</f>
        <v>0.96591350455535263</v>
      </c>
      <c r="AC16" s="49">
        <f>-AC7/AC6</f>
        <v>0.64226009777388748</v>
      </c>
      <c r="AD16" s="49">
        <f t="shared" ref="AD16:AN16" si="18">-AD7/AD6</f>
        <v>1.0317408376963351</v>
      </c>
      <c r="AE16" s="49">
        <f t="shared" si="18"/>
        <v>1.0727328058429701</v>
      </c>
      <c r="AF16" s="49">
        <f t="shared" si="18"/>
        <v>0.86779007980625744</v>
      </c>
      <c r="AG16" s="49">
        <f t="shared" si="18"/>
        <v>0.62877633560733215</v>
      </c>
      <c r="AH16" s="49">
        <f t="shared" si="18"/>
        <v>1.0119872136387853</v>
      </c>
      <c r="AI16" s="49">
        <f t="shared" si="18"/>
        <v>0.96758298755186722</v>
      </c>
      <c r="AJ16" s="49">
        <f t="shared" si="18"/>
        <v>0.75769036812909729</v>
      </c>
      <c r="AK16" s="49">
        <f t="shared" si="18"/>
        <v>0.76810712111990265</v>
      </c>
      <c r="AL16" s="49">
        <f t="shared" si="18"/>
        <v>0.95102448775612192</v>
      </c>
      <c r="AM16" s="49">
        <f t="shared" si="18"/>
        <v>0.92241379310344829</v>
      </c>
      <c r="AN16" s="49">
        <f t="shared" si="18"/>
        <v>0.7783679381941091</v>
      </c>
      <c r="AO16" s="49">
        <f t="shared" ref="AO16:AP16" si="19">-AO7/AO6</f>
        <v>0.94386054857728785</v>
      </c>
      <c r="AP16" s="49">
        <f t="shared" si="19"/>
        <v>0.88268193680051688</v>
      </c>
      <c r="AQ16" s="49">
        <f t="shared" ref="AQ16" si="20">-AQ7/AQ6</f>
        <v>0.82686861364364206</v>
      </c>
      <c r="AR16" s="50">
        <f t="shared" ref="AR16" si="21">-AR7/AR6</f>
        <v>0.75842643416778288</v>
      </c>
    </row>
    <row r="17" spans="4:44" s="10" customFormat="1" ht="15" thickBot="1" x14ac:dyDescent="0.3">
      <c r="D17" s="48" t="s">
        <v>61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:Q17" si="22">-(H8+H9)/H6</f>
        <v>0.46816786079836231</v>
      </c>
      <c r="I17" s="49">
        <f t="shared" si="22"/>
        <v>0.62762204508585362</v>
      </c>
      <c r="J17" s="49">
        <f t="shared" si="22"/>
        <v>0.7652246256239601</v>
      </c>
      <c r="K17" s="49">
        <f t="shared" si="22"/>
        <v>2.0942408376963352E-2</v>
      </c>
      <c r="L17" s="49">
        <f t="shared" si="22"/>
        <v>0.42100283822138129</v>
      </c>
      <c r="M17" s="49">
        <f t="shared" si="22"/>
        <v>0.54139289983316363</v>
      </c>
      <c r="N17" s="49">
        <f t="shared" si="22"/>
        <v>0.61678125625792668</v>
      </c>
      <c r="O17" s="49">
        <f t="shared" si="22"/>
        <v>-3.1965903036760786E-2</v>
      </c>
      <c r="P17" s="49">
        <f t="shared" si="22"/>
        <v>0.32207621550591325</v>
      </c>
      <c r="Q17" s="49">
        <f t="shared" si="22"/>
        <v>0.49628541810642707</v>
      </c>
      <c r="R17" s="49">
        <f>-(R8+R9)/R6</f>
        <v>0.57982429566797944</v>
      </c>
      <c r="S17" s="49">
        <f>-(S8+S9)/S6</f>
        <v>0.6451774112943528</v>
      </c>
      <c r="T17" s="49">
        <f>-(T8+T9)/T6</f>
        <v>0.64128007938476805</v>
      </c>
      <c r="U17" s="49">
        <f>-(U8+U9)/U6</f>
        <v>0.69993444772205837</v>
      </c>
      <c r="V17" s="49">
        <f>-(V8+V9)/V6</f>
        <v>0.78472524060850668</v>
      </c>
      <c r="W17" s="49">
        <f t="shared" ref="W17:Y17" si="23">-(W8+W9)/W6</f>
        <v>0.52482783379945019</v>
      </c>
      <c r="X17" s="49">
        <f t="shared" si="23"/>
        <v>0.55198612762946075</v>
      </c>
      <c r="Y17" s="50">
        <f t="shared" si="23"/>
        <v>0.58304914319709322</v>
      </c>
      <c r="Z17" s="69">
        <f t="shared" ref="Z17:Z18" si="24">(Y17-U17)*100</f>
        <v>-11.688530452496515</v>
      </c>
      <c r="AA17" s="13"/>
      <c r="AB17" s="49">
        <f t="shared" ref="AB17" si="25">-(AB8+AB9)/AB6</f>
        <v>0.91690719181194136</v>
      </c>
      <c r="AC17" s="49">
        <f>-(AC8+AC9)/AC6</f>
        <v>0.99994079510182987</v>
      </c>
      <c r="AD17" s="49">
        <f t="shared" ref="AD17:AN17" si="26">-(AD8+AD9)/AD6</f>
        <v>2.0942408376963352E-2</v>
      </c>
      <c r="AE17" s="49">
        <f t="shared" si="26"/>
        <v>0.79306147291539864</v>
      </c>
      <c r="AF17" s="49">
        <f t="shared" si="26"/>
        <v>0.75838459631519006</v>
      </c>
      <c r="AG17" s="49">
        <f t="shared" si="26"/>
        <v>0.76196157942610032</v>
      </c>
      <c r="AH17" s="49">
        <f t="shared" si="26"/>
        <v>-3.1965903036760786E-2</v>
      </c>
      <c r="AI17" s="49">
        <f t="shared" si="26"/>
        <v>0.66675311203319498</v>
      </c>
      <c r="AJ17" s="49">
        <f t="shared" si="26"/>
        <v>0.83055975794251136</v>
      </c>
      <c r="AK17" s="49">
        <f t="shared" si="26"/>
        <v>0.77601947656725501</v>
      </c>
      <c r="AL17" s="49">
        <f t="shared" si="26"/>
        <v>0.6451774112943528</v>
      </c>
      <c r="AM17" s="49">
        <f t="shared" si="26"/>
        <v>0.63743842364532022</v>
      </c>
      <c r="AN17" s="49">
        <f t="shared" si="26"/>
        <v>0.81409946885562534</v>
      </c>
      <c r="AO17" s="49">
        <f t="shared" ref="AO17:AP17" si="27">-(AO8+AO9)/AO6</f>
        <v>1.0499871827736478</v>
      </c>
      <c r="AP17" s="49">
        <f t="shared" si="27"/>
        <v>0.52482783379945019</v>
      </c>
      <c r="AQ17" s="49">
        <f t="shared" ref="AQ17" si="28">-(AQ8+AQ9)/AQ6</f>
        <v>0.57860206876091036</v>
      </c>
      <c r="AR17" s="50">
        <f t="shared" ref="AR17" si="29">-(AR8+AR9)/AR6</f>
        <v>0.64276331398571918</v>
      </c>
    </row>
    <row r="18" spans="4:44" s="10" customFormat="1" ht="15" thickBot="1" x14ac:dyDescent="0.3">
      <c r="D18" s="42" t="s">
        <v>55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:Q18" si="30">-(H7+H8+H9)/H6</f>
        <v>1.5445240532241555</v>
      </c>
      <c r="I18" s="51">
        <f t="shared" si="30"/>
        <v>1.6647337419040926</v>
      </c>
      <c r="J18" s="51">
        <f t="shared" si="30"/>
        <v>1.656405990016639</v>
      </c>
      <c r="K18" s="51">
        <f t="shared" si="30"/>
        <v>1.0526832460732984</v>
      </c>
      <c r="L18" s="51">
        <f t="shared" si="30"/>
        <v>1.4739829706717125</v>
      </c>
      <c r="M18" s="51">
        <f t="shared" si="30"/>
        <v>1.5282904972535178</v>
      </c>
      <c r="N18" s="51">
        <f t="shared" si="30"/>
        <v>1.48127628329217</v>
      </c>
      <c r="O18" s="51">
        <f t="shared" si="30"/>
        <v>0.98002131060202446</v>
      </c>
      <c r="P18" s="51">
        <f t="shared" si="30"/>
        <v>1.3115637319316689</v>
      </c>
      <c r="Q18" s="51">
        <f t="shared" si="30"/>
        <v>1.40635798203179</v>
      </c>
      <c r="R18" s="51">
        <f>-(R7+R8+R9)/R6</f>
        <v>1.4475007573462586</v>
      </c>
      <c r="S18" s="51">
        <f>-(S7+S8+S9)/S6</f>
        <v>1.5962018990504747</v>
      </c>
      <c r="T18" s="51">
        <f>-(T7+T8+T9)/T6</f>
        <v>1.5778963036467377</v>
      </c>
      <c r="U18" s="51">
        <f>-(U7+U8+U9)/U6</f>
        <v>1.5828416912487708</v>
      </c>
      <c r="V18" s="51">
        <f>-(V7+V8+V9)/V6</f>
        <v>1.6823967711890717</v>
      </c>
      <c r="W18" s="51">
        <f t="shared" ref="W18:Y18" si="31">-(W7+W8+W9)/W6</f>
        <v>1.4075097705999671</v>
      </c>
      <c r="X18" s="51">
        <f t="shared" si="31"/>
        <v>1.4064799436503868</v>
      </c>
      <c r="Y18" s="52">
        <f t="shared" si="31"/>
        <v>1.4046696933917961</v>
      </c>
      <c r="Z18" s="83">
        <f t="shared" si="24"/>
        <v>-17.817199785697468</v>
      </c>
      <c r="AA18" s="13"/>
      <c r="AB18" s="51">
        <f t="shared" ref="AB18" si="32">-(AB7+AB8+AB9)/AB6</f>
        <v>1.882820696367294</v>
      </c>
      <c r="AC18" s="51">
        <f>-(AC7+AC8+AC9)/AC6</f>
        <v>1.6422008928757172</v>
      </c>
      <c r="AD18" s="51">
        <f t="shared" ref="AD18:AN18" si="33">-(AD7+AD8+AD9)/AD6</f>
        <v>1.0526832460732984</v>
      </c>
      <c r="AE18" s="51">
        <f t="shared" si="33"/>
        <v>1.8657942787583688</v>
      </c>
      <c r="AF18" s="51">
        <f t="shared" si="33"/>
        <v>1.6261746761214475</v>
      </c>
      <c r="AG18" s="51">
        <f t="shared" si="33"/>
        <v>1.3907379150334325</v>
      </c>
      <c r="AH18" s="51">
        <f t="shared" si="33"/>
        <v>0.98002131060202446</v>
      </c>
      <c r="AI18" s="51">
        <f t="shared" si="33"/>
        <v>1.6343360995850622</v>
      </c>
      <c r="AJ18" s="51">
        <f t="shared" si="33"/>
        <v>1.5882501260716086</v>
      </c>
      <c r="AK18" s="51">
        <f t="shared" si="33"/>
        <v>1.5441265976871577</v>
      </c>
      <c r="AL18" s="51">
        <f t="shared" si="33"/>
        <v>1.5962018990504747</v>
      </c>
      <c r="AM18" s="51">
        <f t="shared" si="33"/>
        <v>1.5598522167487685</v>
      </c>
      <c r="AN18" s="51">
        <f t="shared" si="33"/>
        <v>1.5924674070497344</v>
      </c>
      <c r="AO18" s="51">
        <f t="shared" ref="AO18:AP18" si="34">-(AO7+AO8+AO9)/AO6</f>
        <v>1.9938477313509357</v>
      </c>
      <c r="AP18" s="51">
        <f t="shared" si="34"/>
        <v>1.4075097705999671</v>
      </c>
      <c r="AQ18" s="51">
        <f t="shared" ref="AQ18" si="35">-(AQ7+AQ8+AQ9)/AQ6</f>
        <v>1.4054706824045524</v>
      </c>
      <c r="AR18" s="52">
        <f t="shared" ref="AR18" si="36">-(AR7+AR8+AR9)/AR6</f>
        <v>1.4011897481535021</v>
      </c>
    </row>
    <row r="19" spans="4:44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64"/>
      <c r="AA19" s="45"/>
    </row>
    <row r="20" spans="4:44" s="10" customFormat="1" x14ac:dyDescent="0.25">
      <c r="Y20" s="90"/>
      <c r="Z20" s="90"/>
      <c r="AA20" s="81"/>
    </row>
  </sheetData>
  <hyperlinks>
    <hyperlink ref="B2" location="'Financial Supplement&gt;&gt;&gt;'!A1" display="ÍNDICE" xr:uid="{0A390E35-A3F7-4FD4-9CFC-9EE437D21668}"/>
  </hyperlinks>
  <pageMargins left="0.7" right="0.7" top="0.75" bottom="0.75" header="0.3" footer="0.3"/>
  <pageSetup paperSize="9" scale="71" orientation="landscape" r:id="rId1"/>
  <ignoredErrors>
    <ignoredError sqref="E10:R10 S10:Y10" formulaRange="1"/>
    <ignoredError sqref="AD5:AO10 AP5:AP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R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customWidth="1" collapsed="1"/>
    <col min="22" max="22" width="11" style="73" customWidth="1"/>
    <col min="23" max="23" width="11" style="73" hidden="1" customWidth="1" outlineLevel="1" collapsed="1"/>
    <col min="24" max="24" width="11" style="73" hidden="1" customWidth="1" outlineLevel="1"/>
    <col min="25" max="25" width="11" style="73" customWidth="1" collapsed="1"/>
    <col min="26" max="26" width="11" style="73" customWidth="1"/>
    <col min="27" max="27" width="3" style="13" customWidth="1"/>
    <col min="28" max="16384" width="10.85546875" style="73"/>
  </cols>
  <sheetData>
    <row r="1" spans="2:44" ht="16.5" customHeight="1" x14ac:dyDescent="0.2"/>
    <row r="2" spans="2:44" ht="18.75" customHeight="1" thickBot="1" x14ac:dyDescent="0.25">
      <c r="B2" s="11" t="s">
        <v>32</v>
      </c>
      <c r="D2" s="14" t="s">
        <v>166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44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4" spans="2:44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215</v>
      </c>
      <c r="Y4" s="74" t="s">
        <v>219</v>
      </c>
      <c r="Z4" s="75" t="s">
        <v>0</v>
      </c>
      <c r="AA4" s="13"/>
      <c r="AB4" s="47" t="s">
        <v>110</v>
      </c>
      <c r="AC4" s="47" t="s">
        <v>111</v>
      </c>
      <c r="AD4" s="47" t="s">
        <v>112</v>
      </c>
      <c r="AE4" s="47" t="s">
        <v>113</v>
      </c>
      <c r="AF4" s="47" t="s">
        <v>114</v>
      </c>
      <c r="AG4" s="47" t="s">
        <v>115</v>
      </c>
      <c r="AH4" s="47" t="s">
        <v>116</v>
      </c>
      <c r="AI4" s="47" t="s">
        <v>117</v>
      </c>
      <c r="AJ4" s="47" t="s">
        <v>118</v>
      </c>
      <c r="AK4" s="47" t="s">
        <v>119</v>
      </c>
      <c r="AL4" s="47" t="s">
        <v>62</v>
      </c>
      <c r="AM4" s="47" t="s">
        <v>63</v>
      </c>
      <c r="AN4" s="47" t="s">
        <v>64</v>
      </c>
      <c r="AO4" s="47" t="s">
        <v>65</v>
      </c>
      <c r="AP4" s="47" t="s">
        <v>191</v>
      </c>
      <c r="AQ4" s="47" t="s">
        <v>216</v>
      </c>
      <c r="AR4" s="74" t="s">
        <v>220</v>
      </c>
    </row>
    <row r="5" spans="2:44" s="10" customFormat="1" x14ac:dyDescent="0.25">
      <c r="D5" s="33" t="s">
        <v>54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76">
        <v>767</v>
      </c>
      <c r="V5" s="76">
        <v>783</v>
      </c>
      <c r="W5" s="76">
        <v>798.91554000000008</v>
      </c>
      <c r="X5" s="76">
        <v>1032.7888899999998</v>
      </c>
      <c r="Y5" s="77">
        <v>1358.5527999999999</v>
      </c>
      <c r="Z5" s="78">
        <f>+Y5/U5-1</f>
        <v>0.77125528031290735</v>
      </c>
      <c r="AA5" s="13"/>
      <c r="AB5" s="76">
        <f>I5-H5</f>
        <v>2.5858000000000629</v>
      </c>
      <c r="AC5" s="76">
        <f>J5-I5</f>
        <v>19.42870999999991</v>
      </c>
      <c r="AD5" s="76">
        <f t="shared" ref="AD5:AD9" si="0">K5</f>
        <v>1349</v>
      </c>
      <c r="AE5" s="76">
        <f t="shared" ref="AE5:AG10" si="1">L5-K5</f>
        <v>14</v>
      </c>
      <c r="AF5" s="76">
        <f t="shared" si="1"/>
        <v>16.129040000000032</v>
      </c>
      <c r="AG5" s="76">
        <f t="shared" si="1"/>
        <v>17.870959999999968</v>
      </c>
      <c r="AH5" s="76">
        <f t="shared" ref="AH5:AH9" si="2">O5</f>
        <v>1061</v>
      </c>
      <c r="AI5" s="76">
        <f t="shared" ref="AI5:AK10" si="3">P5-O5</f>
        <v>7</v>
      </c>
      <c r="AJ5" s="76">
        <f t="shared" si="3"/>
        <v>14</v>
      </c>
      <c r="AK5" s="76">
        <f t="shared" si="3"/>
        <v>15</v>
      </c>
      <c r="AL5" s="76">
        <f t="shared" ref="AL5:AL10" si="4">S5</f>
        <v>741</v>
      </c>
      <c r="AM5" s="76">
        <f t="shared" ref="AM5:AO10" si="5">T5-S5</f>
        <v>13</v>
      </c>
      <c r="AN5" s="76">
        <f t="shared" si="5"/>
        <v>13</v>
      </c>
      <c r="AO5" s="76">
        <f t="shared" si="5"/>
        <v>16</v>
      </c>
      <c r="AP5" s="76">
        <f t="shared" ref="AP5:AP10" si="6">W5</f>
        <v>798.91554000000008</v>
      </c>
      <c r="AQ5" s="76">
        <f t="shared" ref="AQ5:AR11" si="7">X5-W5</f>
        <v>233.87334999999973</v>
      </c>
      <c r="AR5" s="77">
        <f>Y5-X5</f>
        <v>325.76391000000012</v>
      </c>
    </row>
    <row r="6" spans="2:44" s="10" customFormat="1" x14ac:dyDescent="0.25">
      <c r="D6" s="33" t="s">
        <v>101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76">
        <v>592</v>
      </c>
      <c r="V6" s="76">
        <v>773</v>
      </c>
      <c r="W6" s="76">
        <v>188.66217999999992</v>
      </c>
      <c r="X6" s="76">
        <v>415.99561999999975</v>
      </c>
      <c r="Y6" s="77">
        <v>714.09659999999951</v>
      </c>
      <c r="Z6" s="78">
        <f t="shared" ref="Z6:Z9" si="8">+Y6/U6-1</f>
        <v>0.20624425675675595</v>
      </c>
      <c r="AA6" s="13"/>
      <c r="AB6" s="76">
        <f>I6-H6</f>
        <v>418.30776000000151</v>
      </c>
      <c r="AC6" s="76">
        <f t="shared" ref="AC6:AC10" si="9">J6-I6</f>
        <v>511.49907999999891</v>
      </c>
      <c r="AD6" s="76">
        <f t="shared" si="0"/>
        <v>324</v>
      </c>
      <c r="AE6" s="76">
        <f t="shared" si="1"/>
        <v>355</v>
      </c>
      <c r="AF6" s="76">
        <f t="shared" si="1"/>
        <v>353.80626999999913</v>
      </c>
      <c r="AG6" s="76">
        <f t="shared" si="1"/>
        <v>355.19373000000087</v>
      </c>
      <c r="AH6" s="76">
        <f t="shared" si="2"/>
        <v>481</v>
      </c>
      <c r="AI6" s="76">
        <f t="shared" si="3"/>
        <v>256</v>
      </c>
      <c r="AJ6" s="76">
        <f t="shared" si="3"/>
        <v>164</v>
      </c>
      <c r="AK6" s="76">
        <f t="shared" si="3"/>
        <v>164</v>
      </c>
      <c r="AL6" s="76">
        <f t="shared" si="4"/>
        <v>234</v>
      </c>
      <c r="AM6" s="76">
        <f t="shared" si="5"/>
        <v>178</v>
      </c>
      <c r="AN6" s="76">
        <f t="shared" si="5"/>
        <v>180</v>
      </c>
      <c r="AO6" s="76">
        <f t="shared" si="5"/>
        <v>181</v>
      </c>
      <c r="AP6" s="76">
        <f t="shared" si="6"/>
        <v>188.66217999999992</v>
      </c>
      <c r="AQ6" s="76">
        <f t="shared" si="7"/>
        <v>227.33343999999983</v>
      </c>
      <c r="AR6" s="77">
        <f t="shared" si="7"/>
        <v>298.10097999999977</v>
      </c>
    </row>
    <row r="7" spans="2:44" s="10" customFormat="1" x14ac:dyDescent="0.25">
      <c r="D7" s="48" t="s">
        <v>58</v>
      </c>
      <c r="E7" s="56">
        <v>-223</v>
      </c>
      <c r="F7" s="56">
        <v>-236.41472000000036</v>
      </c>
      <c r="G7" s="56">
        <v>-328</v>
      </c>
      <c r="H7" s="56">
        <v>-326.50592000000017</v>
      </c>
      <c r="I7" s="56">
        <v>-416.03276999999957</v>
      </c>
      <c r="J7" s="56">
        <v>-292</v>
      </c>
      <c r="K7" s="56">
        <v>-38</v>
      </c>
      <c r="L7" s="56">
        <v>-32</v>
      </c>
      <c r="M7" s="56">
        <v>-37.001470000000211</v>
      </c>
      <c r="N7" s="56">
        <v>0</v>
      </c>
      <c r="O7" s="56">
        <v>-49</v>
      </c>
      <c r="P7" s="56">
        <v>-21</v>
      </c>
      <c r="Q7" s="56">
        <v>-36</v>
      </c>
      <c r="R7" s="56">
        <v>-10</v>
      </c>
      <c r="S7" s="56">
        <v>-19</v>
      </c>
      <c r="T7" s="56">
        <v>-43</v>
      </c>
      <c r="U7" s="56">
        <v>-77</v>
      </c>
      <c r="V7" s="56">
        <v>-84</v>
      </c>
      <c r="W7" s="56">
        <v>-16.717249999999936</v>
      </c>
      <c r="X7" s="56">
        <v>-50.260800000000003</v>
      </c>
      <c r="Y7" s="57">
        <v>-67.451780000000127</v>
      </c>
      <c r="Z7" s="79">
        <f t="shared" si="8"/>
        <v>-0.12400285714285553</v>
      </c>
      <c r="AA7" s="13"/>
      <c r="AB7" s="56">
        <f>I7-H7</f>
        <v>-89.526849999999399</v>
      </c>
      <c r="AC7" s="56">
        <f t="shared" si="9"/>
        <v>124.03276999999957</v>
      </c>
      <c r="AD7" s="56">
        <f t="shared" si="0"/>
        <v>-38</v>
      </c>
      <c r="AE7" s="56">
        <f t="shared" si="1"/>
        <v>6</v>
      </c>
      <c r="AF7" s="56">
        <f t="shared" si="1"/>
        <v>-5.0014700000002108</v>
      </c>
      <c r="AG7" s="56">
        <f t="shared" si="1"/>
        <v>37.001470000000211</v>
      </c>
      <c r="AH7" s="56">
        <f t="shared" si="2"/>
        <v>-49</v>
      </c>
      <c r="AI7" s="56">
        <f t="shared" si="3"/>
        <v>28</v>
      </c>
      <c r="AJ7" s="56">
        <f t="shared" si="3"/>
        <v>-15</v>
      </c>
      <c r="AK7" s="56">
        <f t="shared" si="3"/>
        <v>26</v>
      </c>
      <c r="AL7" s="56">
        <f t="shared" si="4"/>
        <v>-19</v>
      </c>
      <c r="AM7" s="56">
        <f t="shared" si="5"/>
        <v>-24</v>
      </c>
      <c r="AN7" s="56">
        <f t="shared" si="5"/>
        <v>-34</v>
      </c>
      <c r="AO7" s="56">
        <f t="shared" si="5"/>
        <v>-7</v>
      </c>
      <c r="AP7" s="56">
        <f t="shared" si="6"/>
        <v>-16.717249999999936</v>
      </c>
      <c r="AQ7" s="56">
        <f t="shared" si="7"/>
        <v>-33.543550000000067</v>
      </c>
      <c r="AR7" s="57">
        <f t="shared" si="7"/>
        <v>-17.190980000000124</v>
      </c>
    </row>
    <row r="8" spans="2:44" s="10" customFormat="1" x14ac:dyDescent="0.25">
      <c r="D8" s="48" t="s">
        <v>120</v>
      </c>
      <c r="E8" s="56">
        <v>-751</v>
      </c>
      <c r="F8" s="56">
        <v>-536.81047999999998</v>
      </c>
      <c r="G8" s="56">
        <v>-724</v>
      </c>
      <c r="H8" s="56">
        <v>-416.92200000000003</v>
      </c>
      <c r="I8" s="56">
        <v>-499.85578000000004</v>
      </c>
      <c r="J8" s="56">
        <v>-708</v>
      </c>
      <c r="K8" s="56">
        <v>-184</v>
      </c>
      <c r="L8" s="56">
        <v>-172</v>
      </c>
      <c r="M8" s="56">
        <v>-386.88099</v>
      </c>
      <c r="N8" s="56">
        <v>-594</v>
      </c>
      <c r="O8" s="56">
        <v>-118</v>
      </c>
      <c r="P8" s="56">
        <v>-235</v>
      </c>
      <c r="Q8" s="56">
        <v>-353</v>
      </c>
      <c r="R8" s="56">
        <v>-637</v>
      </c>
      <c r="S8" s="56">
        <v>-76</v>
      </c>
      <c r="T8" s="56">
        <v>-151</v>
      </c>
      <c r="U8" s="56">
        <v>-227</v>
      </c>
      <c r="V8" s="56">
        <v>-393</v>
      </c>
      <c r="W8" s="56">
        <v>-94.10544999999999</v>
      </c>
      <c r="X8" s="56">
        <v>-165.95814999999999</v>
      </c>
      <c r="Y8" s="57">
        <v>-237.81084999999999</v>
      </c>
      <c r="Z8" s="79">
        <f t="shared" si="8"/>
        <v>4.7624889867841302E-2</v>
      </c>
      <c r="AA8" s="13"/>
      <c r="AB8" s="56">
        <f>I8-H8</f>
        <v>-82.933780000000013</v>
      </c>
      <c r="AC8" s="56">
        <f t="shared" si="9"/>
        <v>-208.14421999999996</v>
      </c>
      <c r="AD8" s="56">
        <f t="shared" si="0"/>
        <v>-184</v>
      </c>
      <c r="AE8" s="56">
        <f t="shared" si="1"/>
        <v>12</v>
      </c>
      <c r="AF8" s="56">
        <f t="shared" si="1"/>
        <v>-214.88099</v>
      </c>
      <c r="AG8" s="56">
        <f t="shared" si="1"/>
        <v>-207.11901</v>
      </c>
      <c r="AH8" s="56">
        <f t="shared" si="2"/>
        <v>-118</v>
      </c>
      <c r="AI8" s="56">
        <f t="shared" si="3"/>
        <v>-117</v>
      </c>
      <c r="AJ8" s="56">
        <f t="shared" si="3"/>
        <v>-118</v>
      </c>
      <c r="AK8" s="56">
        <f t="shared" si="3"/>
        <v>-284</v>
      </c>
      <c r="AL8" s="56">
        <f t="shared" si="4"/>
        <v>-76</v>
      </c>
      <c r="AM8" s="56">
        <f t="shared" si="5"/>
        <v>-75</v>
      </c>
      <c r="AN8" s="56">
        <f t="shared" si="5"/>
        <v>-76</v>
      </c>
      <c r="AO8" s="56">
        <f t="shared" si="5"/>
        <v>-166</v>
      </c>
      <c r="AP8" s="56">
        <f t="shared" si="6"/>
        <v>-94.10544999999999</v>
      </c>
      <c r="AQ8" s="56">
        <f t="shared" si="7"/>
        <v>-71.852699999999999</v>
      </c>
      <c r="AR8" s="57">
        <f t="shared" si="7"/>
        <v>-71.852699999999999</v>
      </c>
    </row>
    <row r="9" spans="2:44" s="10" customFormat="1" x14ac:dyDescent="0.25">
      <c r="D9" s="48" t="s">
        <v>59</v>
      </c>
      <c r="E9" s="56">
        <v>-1055</v>
      </c>
      <c r="F9" s="56">
        <v>-546.89414447900003</v>
      </c>
      <c r="G9" s="56">
        <v>-877</v>
      </c>
      <c r="H9" s="56">
        <v>-84.976086649599992</v>
      </c>
      <c r="I9" s="56">
        <v>-199.36252122880001</v>
      </c>
      <c r="J9" s="56">
        <v>-342</v>
      </c>
      <c r="K9" s="56">
        <v>-8</v>
      </c>
      <c r="L9" s="56">
        <v>-10</v>
      </c>
      <c r="M9" s="56">
        <v>-12.3646754888</v>
      </c>
      <c r="N9" s="56">
        <v>-113</v>
      </c>
      <c r="O9" s="56">
        <v>-50</v>
      </c>
      <c r="P9" s="56">
        <v>-76</v>
      </c>
      <c r="Q9" s="56">
        <v>-64</v>
      </c>
      <c r="R9" s="56">
        <v>-66</v>
      </c>
      <c r="S9" s="56">
        <v>-36</v>
      </c>
      <c r="T9" s="56">
        <v>-43</v>
      </c>
      <c r="U9" s="56">
        <v>-57</v>
      </c>
      <c r="V9" s="56">
        <v>-58</v>
      </c>
      <c r="W9" s="56">
        <v>-136.42063540800001</v>
      </c>
      <c r="X9" s="56">
        <v>-267.81629180639999</v>
      </c>
      <c r="Y9" s="57">
        <v>-484.61062249599996</v>
      </c>
      <c r="Z9" s="79">
        <f t="shared" si="8"/>
        <v>7.5019407455438589</v>
      </c>
      <c r="AA9" s="13"/>
      <c r="AB9" s="56">
        <f>I9-H9</f>
        <v>-114.38643457920001</v>
      </c>
      <c r="AC9" s="56">
        <f t="shared" si="9"/>
        <v>-142.63747877119999</v>
      </c>
      <c r="AD9" s="56">
        <f t="shared" si="0"/>
        <v>-8</v>
      </c>
      <c r="AE9" s="56">
        <f t="shared" si="1"/>
        <v>-2</v>
      </c>
      <c r="AF9" s="56">
        <f t="shared" si="1"/>
        <v>-2.3646754887999997</v>
      </c>
      <c r="AG9" s="56">
        <f t="shared" si="1"/>
        <v>-100.6353245112</v>
      </c>
      <c r="AH9" s="56">
        <f t="shared" si="2"/>
        <v>-50</v>
      </c>
      <c r="AI9" s="56">
        <f t="shared" si="3"/>
        <v>-26</v>
      </c>
      <c r="AJ9" s="56">
        <f t="shared" si="3"/>
        <v>12</v>
      </c>
      <c r="AK9" s="56">
        <f t="shared" si="3"/>
        <v>-2</v>
      </c>
      <c r="AL9" s="56">
        <f t="shared" si="4"/>
        <v>-36</v>
      </c>
      <c r="AM9" s="56">
        <f t="shared" si="5"/>
        <v>-7</v>
      </c>
      <c r="AN9" s="56">
        <f t="shared" si="5"/>
        <v>-14</v>
      </c>
      <c r="AO9" s="56">
        <f t="shared" si="5"/>
        <v>-1</v>
      </c>
      <c r="AP9" s="56">
        <f t="shared" si="6"/>
        <v>-136.42063540800001</v>
      </c>
      <c r="AQ9" s="56">
        <f t="shared" si="7"/>
        <v>-131.39565639839998</v>
      </c>
      <c r="AR9" s="57">
        <f t="shared" si="7"/>
        <v>-216.79433068959997</v>
      </c>
    </row>
    <row r="10" spans="2:44" s="10" customFormat="1" ht="15" thickBot="1" x14ac:dyDescent="0.3">
      <c r="D10" s="48" t="s">
        <v>102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7">
        <v>0</v>
      </c>
      <c r="Z10" s="79" t="s">
        <v>7</v>
      </c>
      <c r="AA10" s="13"/>
      <c r="AB10" s="56">
        <f>I10-H10</f>
        <v>0</v>
      </c>
      <c r="AC10" s="56">
        <f t="shared" si="9"/>
        <v>0</v>
      </c>
      <c r="AD10" s="56">
        <f>K10</f>
        <v>0</v>
      </c>
      <c r="AE10" s="56">
        <f t="shared" si="1"/>
        <v>0</v>
      </c>
      <c r="AF10" s="56">
        <f t="shared" si="1"/>
        <v>0</v>
      </c>
      <c r="AG10" s="56">
        <f t="shared" si="1"/>
        <v>0</v>
      </c>
      <c r="AH10" s="56">
        <f>O10</f>
        <v>0</v>
      </c>
      <c r="AI10" s="56">
        <f t="shared" si="3"/>
        <v>0</v>
      </c>
      <c r="AJ10" s="56">
        <f t="shared" si="3"/>
        <v>0</v>
      </c>
      <c r="AK10" s="56">
        <f t="shared" si="3"/>
        <v>0</v>
      </c>
      <c r="AL10" s="56">
        <f t="shared" si="4"/>
        <v>0</v>
      </c>
      <c r="AM10" s="56">
        <f t="shared" si="5"/>
        <v>0</v>
      </c>
      <c r="AN10" s="56">
        <f t="shared" si="5"/>
        <v>0</v>
      </c>
      <c r="AO10" s="56">
        <f t="shared" si="5"/>
        <v>0</v>
      </c>
      <c r="AP10" s="56">
        <f t="shared" si="6"/>
        <v>0</v>
      </c>
      <c r="AQ10" s="56">
        <f t="shared" si="7"/>
        <v>0</v>
      </c>
      <c r="AR10" s="57">
        <f t="shared" si="7"/>
        <v>0</v>
      </c>
    </row>
    <row r="11" spans="2:44" s="10" customFormat="1" ht="15" thickBot="1" x14ac:dyDescent="0.3">
      <c r="D11" s="42" t="s">
        <v>56</v>
      </c>
      <c r="E11" s="59">
        <f>SUM(E6:E10)</f>
        <v>1186</v>
      </c>
      <c r="F11" s="59">
        <f>SUM(F6:F10)</f>
        <v>1003.9744355210007</v>
      </c>
      <c r="G11" s="59">
        <f>SUM(G6:G10)</f>
        <v>1116</v>
      </c>
      <c r="H11" s="59">
        <f t="shared" ref="H11:S11" si="10">SUM(H6:H10)</f>
        <v>247.78915335039915</v>
      </c>
      <c r="I11" s="59">
        <f t="shared" si="10"/>
        <v>379.24984877120119</v>
      </c>
      <c r="J11" s="59">
        <f t="shared" si="10"/>
        <v>663.99999999999977</v>
      </c>
      <c r="K11" s="59">
        <f t="shared" si="10"/>
        <v>94</v>
      </c>
      <c r="L11" s="59">
        <f t="shared" si="10"/>
        <v>465</v>
      </c>
      <c r="M11" s="59">
        <f t="shared" si="10"/>
        <v>596.55913451119898</v>
      </c>
      <c r="N11" s="59">
        <f t="shared" si="10"/>
        <v>681</v>
      </c>
      <c r="O11" s="59">
        <f t="shared" si="10"/>
        <v>264</v>
      </c>
      <c r="P11" s="59">
        <f t="shared" si="10"/>
        <v>405</v>
      </c>
      <c r="Q11" s="59">
        <f t="shared" si="10"/>
        <v>448</v>
      </c>
      <c r="R11" s="59">
        <f t="shared" si="10"/>
        <v>352</v>
      </c>
      <c r="S11" s="59">
        <f t="shared" si="10"/>
        <v>103</v>
      </c>
      <c r="T11" s="59">
        <f t="shared" ref="T11:Y11" si="11">SUM(T6:T10)</f>
        <v>175</v>
      </c>
      <c r="U11" s="59">
        <f t="shared" si="11"/>
        <v>231</v>
      </c>
      <c r="V11" s="59">
        <f t="shared" si="11"/>
        <v>238</v>
      </c>
      <c r="W11" s="59">
        <f t="shared" si="11"/>
        <v>-58.581155408000001</v>
      </c>
      <c r="X11" s="59">
        <f t="shared" si="11"/>
        <v>-68.039621806400248</v>
      </c>
      <c r="Y11" s="60">
        <f t="shared" si="11"/>
        <v>-75.776652496000509</v>
      </c>
      <c r="Z11" s="95">
        <f>+Y11/U11-1</f>
        <v>-1.3280374566926429</v>
      </c>
      <c r="AA11" s="13"/>
      <c r="AB11" s="59">
        <f t="shared" ref="AB11:AE11" si="12">SUM(AB6:AB10)</f>
        <v>131.4606954208021</v>
      </c>
      <c r="AC11" s="59">
        <f t="shared" si="12"/>
        <v>284.75015122879853</v>
      </c>
      <c r="AD11" s="59">
        <f t="shared" si="12"/>
        <v>94</v>
      </c>
      <c r="AE11" s="59">
        <f t="shared" si="12"/>
        <v>371</v>
      </c>
      <c r="AF11" s="59">
        <f>SUM(AF6:AF10)</f>
        <v>131.55913451119892</v>
      </c>
      <c r="AG11" s="59">
        <f>SUM(AG6:AG10)</f>
        <v>84.44086548880108</v>
      </c>
      <c r="AH11" s="59">
        <f>SUM(AH6:AH10)</f>
        <v>264</v>
      </c>
      <c r="AI11" s="59">
        <f t="shared" ref="AI11:AJ11" si="13">SUM(AI6:AI10)</f>
        <v>141</v>
      </c>
      <c r="AJ11" s="59">
        <f t="shared" si="13"/>
        <v>43</v>
      </c>
      <c r="AK11" s="59">
        <f>SUM(AK6:AK10)</f>
        <v>-96</v>
      </c>
      <c r="AL11" s="59">
        <f>SUM(AL6:AL10)</f>
        <v>103</v>
      </c>
      <c r="AM11" s="59">
        <f>SUM(AM6:AM10)</f>
        <v>72</v>
      </c>
      <c r="AN11" s="59">
        <f>SUM(AN6:AN10)</f>
        <v>56</v>
      </c>
      <c r="AO11" s="59">
        <f>SUM(AO6:AO10)</f>
        <v>7</v>
      </c>
      <c r="AP11" s="59">
        <f t="shared" ref="AP11" si="14">SUM(AP6:AP10)</f>
        <v>-58.581155408000001</v>
      </c>
      <c r="AQ11" s="59">
        <f t="shared" si="7"/>
        <v>-9.4584663984002475</v>
      </c>
      <c r="AR11" s="60">
        <f t="shared" si="7"/>
        <v>-7.7370306896002603</v>
      </c>
    </row>
    <row r="12" spans="2:44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9"/>
      <c r="AA12" s="13"/>
    </row>
    <row r="13" spans="2:44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27" t="s">
        <v>46</v>
      </c>
      <c r="AA13" s="13"/>
      <c r="AL13" s="27"/>
      <c r="AM13" s="27"/>
      <c r="AN13" s="27"/>
      <c r="AO13" s="27"/>
      <c r="AP13" s="27"/>
      <c r="AQ13" s="27"/>
      <c r="AR13" s="27" t="s">
        <v>46</v>
      </c>
    </row>
    <row r="14" spans="2:44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13"/>
    </row>
    <row r="15" spans="2:44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9"/>
      <c r="AA15" s="13"/>
    </row>
    <row r="16" spans="2:44" s="10" customFormat="1" ht="15" thickBot="1" x14ac:dyDescent="0.3">
      <c r="D16" s="23"/>
      <c r="E16" s="47" t="s">
        <v>6</v>
      </c>
      <c r="F16" s="47" t="s">
        <v>21</v>
      </c>
      <c r="G16" s="47" t="s">
        <v>3</v>
      </c>
      <c r="H16" s="47" t="s">
        <v>22</v>
      </c>
      <c r="I16" s="47" t="s">
        <v>23</v>
      </c>
      <c r="J16" s="47" t="s">
        <v>4</v>
      </c>
      <c r="K16" s="47" t="s">
        <v>24</v>
      </c>
      <c r="L16" s="47" t="s">
        <v>25</v>
      </c>
      <c r="M16" s="47" t="s">
        <v>26</v>
      </c>
      <c r="N16" s="47" t="s">
        <v>14</v>
      </c>
      <c r="O16" s="47" t="s">
        <v>27</v>
      </c>
      <c r="P16" s="47" t="s">
        <v>28</v>
      </c>
      <c r="Q16" s="47" t="s">
        <v>29</v>
      </c>
      <c r="R16" s="47" t="s">
        <v>16</v>
      </c>
      <c r="S16" s="47" t="s">
        <v>17</v>
      </c>
      <c r="T16" s="47" t="s">
        <v>18</v>
      </c>
      <c r="U16" s="47" t="s">
        <v>19</v>
      </c>
      <c r="V16" s="47" t="s">
        <v>20</v>
      </c>
      <c r="W16" s="47" t="s">
        <v>190</v>
      </c>
      <c r="X16" s="47" t="s">
        <v>215</v>
      </c>
      <c r="Y16" s="74" t="s">
        <v>219</v>
      </c>
      <c r="Z16" s="99" t="s">
        <v>2</v>
      </c>
      <c r="AA16" s="13"/>
      <c r="AB16" s="47" t="s">
        <v>110</v>
      </c>
      <c r="AC16" s="47" t="s">
        <v>111</v>
      </c>
      <c r="AD16" s="47" t="s">
        <v>112</v>
      </c>
      <c r="AE16" s="47" t="s">
        <v>113</v>
      </c>
      <c r="AF16" s="47" t="s">
        <v>114</v>
      </c>
      <c r="AG16" s="47" t="s">
        <v>115</v>
      </c>
      <c r="AH16" s="47" t="s">
        <v>116</v>
      </c>
      <c r="AI16" s="47" t="s">
        <v>117</v>
      </c>
      <c r="AJ16" s="47" t="s">
        <v>118</v>
      </c>
      <c r="AK16" s="47" t="s">
        <v>119</v>
      </c>
      <c r="AL16" s="47" t="s">
        <v>62</v>
      </c>
      <c r="AM16" s="47" t="s">
        <v>63</v>
      </c>
      <c r="AN16" s="47" t="s">
        <v>64</v>
      </c>
      <c r="AO16" s="47" t="s">
        <v>65</v>
      </c>
      <c r="AP16" s="47" t="s">
        <v>191</v>
      </c>
      <c r="AQ16" s="47" t="s">
        <v>216</v>
      </c>
      <c r="AR16" s="74" t="s">
        <v>220</v>
      </c>
    </row>
    <row r="17" spans="4:44" s="10" customFormat="1" x14ac:dyDescent="0.25">
      <c r="D17" s="48" t="s">
        <v>60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:Q17" si="15">-H7/H6</f>
        <v>0.30338970004232363</v>
      </c>
      <c r="I17" s="49">
        <f t="shared" si="15"/>
        <v>0.27837572023709384</v>
      </c>
      <c r="J17" s="49">
        <f t="shared" si="15"/>
        <v>0.14556331006979065</v>
      </c>
      <c r="K17" s="49">
        <f t="shared" si="15"/>
        <v>0.11728395061728394</v>
      </c>
      <c r="L17" s="49">
        <f t="shared" si="15"/>
        <v>4.7128129602356406E-2</v>
      </c>
      <c r="M17" s="49">
        <f t="shared" si="15"/>
        <v>3.5826147724684364E-2</v>
      </c>
      <c r="N17" s="49">
        <f t="shared" si="15"/>
        <v>0</v>
      </c>
      <c r="O17" s="49">
        <f t="shared" si="15"/>
        <v>0.10187110187110188</v>
      </c>
      <c r="P17" s="49">
        <f t="shared" si="15"/>
        <v>2.8493894165535955E-2</v>
      </c>
      <c r="Q17" s="49">
        <f t="shared" si="15"/>
        <v>3.9955604883462822E-2</v>
      </c>
      <c r="R17" s="49">
        <f>-R7/R6</f>
        <v>9.3896713615023476E-3</v>
      </c>
      <c r="S17" s="49">
        <f>-S7/S6</f>
        <v>8.11965811965812E-2</v>
      </c>
      <c r="T17" s="49">
        <f>-T7/T6</f>
        <v>0.10436893203883495</v>
      </c>
      <c r="U17" s="49">
        <f>-U7/U6</f>
        <v>0.13006756756756757</v>
      </c>
      <c r="V17" s="49">
        <f>-V7/V6</f>
        <v>0.10866752910737387</v>
      </c>
      <c r="W17" s="49">
        <f t="shared" ref="W17:Y17" si="16">-W7/W6</f>
        <v>8.8609439369352894E-2</v>
      </c>
      <c r="X17" s="49">
        <f t="shared" si="16"/>
        <v>0.12082050286971779</v>
      </c>
      <c r="Y17" s="50">
        <f t="shared" si="16"/>
        <v>9.4457500567850586E-2</v>
      </c>
      <c r="Z17" s="69">
        <f>(Y17-U17)*100</f>
        <v>-3.5610066999716987</v>
      </c>
      <c r="AA17" s="13"/>
      <c r="AB17" s="49">
        <f t="shared" ref="AB17:AJ17" si="17">-AB7/AB6</f>
        <v>0.21402148982366256</v>
      </c>
      <c r="AC17" s="49">
        <f t="shared" si="17"/>
        <v>-0.24248874504329476</v>
      </c>
      <c r="AD17" s="49">
        <f t="shared" si="17"/>
        <v>0.11728395061728394</v>
      </c>
      <c r="AE17" s="49">
        <f t="shared" si="17"/>
        <v>-1.6901408450704224E-2</v>
      </c>
      <c r="AF17" s="49">
        <f t="shared" si="17"/>
        <v>1.4136182493318231E-2</v>
      </c>
      <c r="AG17" s="49">
        <f t="shared" si="17"/>
        <v>-0.10417264403850857</v>
      </c>
      <c r="AH17" s="49">
        <f t="shared" si="17"/>
        <v>0.10187110187110188</v>
      </c>
      <c r="AI17" s="49">
        <f t="shared" si="17"/>
        <v>-0.109375</v>
      </c>
      <c r="AJ17" s="49">
        <f t="shared" si="17"/>
        <v>9.1463414634146339E-2</v>
      </c>
      <c r="AK17" s="49">
        <f>-AK7/AK6</f>
        <v>-0.15853658536585366</v>
      </c>
      <c r="AL17" s="49">
        <f>-AL7/AL6</f>
        <v>8.11965811965812E-2</v>
      </c>
      <c r="AM17" s="49">
        <f>-AM7/AM6</f>
        <v>0.1348314606741573</v>
      </c>
      <c r="AN17" s="49">
        <f>-AN7/AN6</f>
        <v>0.18888888888888888</v>
      </c>
      <c r="AO17" s="49">
        <f>-AO7/AO6</f>
        <v>3.8674033149171269E-2</v>
      </c>
      <c r="AP17" s="49">
        <f t="shared" ref="AP17:AR17" si="18">-AP7/AP6</f>
        <v>8.8609439369352894E-2</v>
      </c>
      <c r="AQ17" s="49">
        <f t="shared" si="18"/>
        <v>0.14755220349456769</v>
      </c>
      <c r="AR17" s="50">
        <f t="shared" si="18"/>
        <v>5.7668310919340611E-2</v>
      </c>
    </row>
    <row r="18" spans="4:44" s="10" customFormat="1" ht="15" thickBot="1" x14ac:dyDescent="0.3">
      <c r="D18" s="48" t="s">
        <v>61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:U18" si="19">-(H9+H10+H8)/H6</f>
        <v>0.46636431572339704</v>
      </c>
      <c r="I18" s="49">
        <f t="shared" si="19"/>
        <v>0.46786073656535432</v>
      </c>
      <c r="J18" s="49">
        <f t="shared" si="19"/>
        <v>0.52342971086739787</v>
      </c>
      <c r="K18" s="49">
        <f t="shared" si="19"/>
        <v>0.59259259259259256</v>
      </c>
      <c r="L18" s="49">
        <f t="shared" si="19"/>
        <v>0.26804123711340205</v>
      </c>
      <c r="M18" s="49">
        <f t="shared" si="19"/>
        <v>0.38656394435792912</v>
      </c>
      <c r="N18" s="49">
        <f t="shared" si="19"/>
        <v>0.50936599423631124</v>
      </c>
      <c r="O18" s="49">
        <f t="shared" si="19"/>
        <v>0.34927234927234929</v>
      </c>
      <c r="P18" s="49">
        <f t="shared" si="19"/>
        <v>0.42198100407055633</v>
      </c>
      <c r="Q18" s="49">
        <f t="shared" si="19"/>
        <v>0.462819089900111</v>
      </c>
      <c r="R18" s="49">
        <f t="shared" si="19"/>
        <v>0.66009389671361507</v>
      </c>
      <c r="S18" s="49">
        <f t="shared" si="19"/>
        <v>0.47863247863247865</v>
      </c>
      <c r="T18" s="49">
        <f t="shared" si="19"/>
        <v>0.470873786407767</v>
      </c>
      <c r="U18" s="49">
        <f t="shared" si="19"/>
        <v>0.47972972972972971</v>
      </c>
      <c r="V18" s="49">
        <f t="shared" ref="V18:Y18" si="20">-(V9+V10+V8)/V6</f>
        <v>0.58344113842173351</v>
      </c>
      <c r="W18" s="49">
        <f t="shared" si="20"/>
        <v>1.2218987685184179</v>
      </c>
      <c r="X18" s="49">
        <f t="shared" si="20"/>
        <v>1.0427380024010835</v>
      </c>
      <c r="Y18" s="50">
        <f t="shared" si="20"/>
        <v>1.011657908042134</v>
      </c>
      <c r="Z18" s="69">
        <f t="shared" ref="Z18:Z19" si="21">(Y18-U18)*100</f>
        <v>53.192817831240426</v>
      </c>
      <c r="AA18" s="13"/>
      <c r="AB18" s="49">
        <f t="shared" ref="AB18:AJ18" si="22">-(AB9+AB10+AB8)/AB6</f>
        <v>0.47171062420453136</v>
      </c>
      <c r="AC18" s="49">
        <f t="shared" si="22"/>
        <v>0.68579145591268842</v>
      </c>
      <c r="AD18" s="49">
        <f t="shared" si="22"/>
        <v>0.59259259259259256</v>
      </c>
      <c r="AE18" s="49">
        <f t="shared" si="22"/>
        <v>-2.8169014084507043E-2</v>
      </c>
      <c r="AF18" s="49">
        <f t="shared" si="22"/>
        <v>0.61402435148704548</v>
      </c>
      <c r="AG18" s="49">
        <f t="shared" si="22"/>
        <v>0.8664407857402191</v>
      </c>
      <c r="AH18" s="49">
        <f t="shared" si="22"/>
        <v>0.34927234927234929</v>
      </c>
      <c r="AI18" s="49">
        <f t="shared" si="22"/>
        <v>0.55859375</v>
      </c>
      <c r="AJ18" s="49">
        <f t="shared" si="22"/>
        <v>0.64634146341463417</v>
      </c>
      <c r="AK18" s="49">
        <f>-(AK9+AK10+AK8)/AK6</f>
        <v>1.7439024390243902</v>
      </c>
      <c r="AL18" s="49">
        <f>-(AL9+AL10+AL8)/AL6</f>
        <v>0.47863247863247865</v>
      </c>
      <c r="AM18" s="49">
        <f>-(AM9+AM10+AM8)/AM6</f>
        <v>0.4606741573033708</v>
      </c>
      <c r="AN18" s="49">
        <f>-(AN9+AN10+AN8)/AN6</f>
        <v>0.5</v>
      </c>
      <c r="AO18" s="49">
        <f>-(AO9+AO10+AO8)/AO6</f>
        <v>0.92265193370165743</v>
      </c>
      <c r="AP18" s="49">
        <f t="shared" ref="AP18:AR18" si="23">-(AP9+AP10+AP8)/AP6</f>
        <v>1.2218987685184179</v>
      </c>
      <c r="AQ18" s="49">
        <f t="shared" si="23"/>
        <v>0.89405393416120449</v>
      </c>
      <c r="AR18" s="50">
        <f t="shared" si="23"/>
        <v>0.96828608443219555</v>
      </c>
    </row>
    <row r="19" spans="4:44" s="10" customFormat="1" ht="15" thickBot="1" x14ac:dyDescent="0.3">
      <c r="D19" s="42" t="s">
        <v>55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:U19" si="24">-(H7+H9+H10+H8)/H6</f>
        <v>0.76975401576572067</v>
      </c>
      <c r="I19" s="51">
        <f t="shared" si="24"/>
        <v>0.74623645680244821</v>
      </c>
      <c r="J19" s="51">
        <f t="shared" si="24"/>
        <v>0.66899302093718849</v>
      </c>
      <c r="K19" s="51">
        <f t="shared" si="24"/>
        <v>0.70987654320987659</v>
      </c>
      <c r="L19" s="51">
        <f t="shared" si="24"/>
        <v>0.31516936671575846</v>
      </c>
      <c r="M19" s="51">
        <f t="shared" si="24"/>
        <v>0.42239009208261352</v>
      </c>
      <c r="N19" s="51">
        <f t="shared" si="24"/>
        <v>0.50936599423631124</v>
      </c>
      <c r="O19" s="51">
        <f t="shared" si="24"/>
        <v>0.45114345114345117</v>
      </c>
      <c r="P19" s="51">
        <f t="shared" si="24"/>
        <v>0.45047489823609227</v>
      </c>
      <c r="Q19" s="51">
        <f t="shared" si="24"/>
        <v>0.50277469478357384</v>
      </c>
      <c r="R19" s="51">
        <f t="shared" si="24"/>
        <v>0.66948356807511733</v>
      </c>
      <c r="S19" s="51">
        <f t="shared" si="24"/>
        <v>0.55982905982905984</v>
      </c>
      <c r="T19" s="51">
        <f t="shared" si="24"/>
        <v>0.57524271844660191</v>
      </c>
      <c r="U19" s="51">
        <f t="shared" si="24"/>
        <v>0.60979729729729726</v>
      </c>
      <c r="V19" s="51">
        <f t="shared" ref="V19:Y19" si="25">-(V7+V9+V10+V8)/V6</f>
        <v>0.69210866752910738</v>
      </c>
      <c r="W19" s="51">
        <f t="shared" si="25"/>
        <v>1.3105082078877708</v>
      </c>
      <c r="X19" s="51">
        <f t="shared" si="25"/>
        <v>1.1635585052708013</v>
      </c>
      <c r="Y19" s="52">
        <f t="shared" si="25"/>
        <v>1.1061154086099845</v>
      </c>
      <c r="Z19" s="83">
        <f t="shared" si="21"/>
        <v>49.631811131268719</v>
      </c>
      <c r="AA19" s="45"/>
      <c r="AB19" s="51">
        <f t="shared" ref="AB19:AN19" si="26">-(AB7+AB9+AB10+AB8)/AB6</f>
        <v>0.6857321140281939</v>
      </c>
      <c r="AC19" s="51">
        <f t="shared" si="26"/>
        <v>0.44330271086939366</v>
      </c>
      <c r="AD19" s="51">
        <f t="shared" si="26"/>
        <v>0.70987654320987659</v>
      </c>
      <c r="AE19" s="51">
        <f t="shared" si="26"/>
        <v>-4.507042253521127E-2</v>
      </c>
      <c r="AF19" s="51">
        <f t="shared" si="26"/>
        <v>0.62816053398036376</v>
      </c>
      <c r="AG19" s="51">
        <f t="shared" si="26"/>
        <v>0.76226814170171053</v>
      </c>
      <c r="AH19" s="51">
        <f t="shared" si="26"/>
        <v>0.45114345114345117</v>
      </c>
      <c r="AI19" s="51">
        <f t="shared" si="26"/>
        <v>0.44921875</v>
      </c>
      <c r="AJ19" s="51">
        <f t="shared" si="26"/>
        <v>0.73780487804878048</v>
      </c>
      <c r="AK19" s="51">
        <f t="shared" si="26"/>
        <v>1.5853658536585367</v>
      </c>
      <c r="AL19" s="51">
        <f t="shared" si="26"/>
        <v>0.55982905982905984</v>
      </c>
      <c r="AM19" s="51">
        <f t="shared" si="26"/>
        <v>0.5955056179775281</v>
      </c>
      <c r="AN19" s="51">
        <f t="shared" si="26"/>
        <v>0.68888888888888888</v>
      </c>
      <c r="AO19" s="51">
        <f t="shared" ref="AO19:AR19" si="27">-(AO7+AO9+AO10+AO8)/AO6</f>
        <v>0.96132596685082872</v>
      </c>
      <c r="AP19" s="51">
        <f t="shared" si="27"/>
        <v>1.3105082078877708</v>
      </c>
      <c r="AQ19" s="51">
        <f t="shared" si="27"/>
        <v>1.0416061376557721</v>
      </c>
      <c r="AR19" s="52">
        <f t="shared" si="27"/>
        <v>1.025954395351536</v>
      </c>
    </row>
    <row r="20" spans="4:44" s="10" customFormat="1" x14ac:dyDescent="0.25">
      <c r="D20" s="3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4"/>
      <c r="AA20" s="81"/>
    </row>
    <row r="21" spans="4:44" s="10" customFormat="1" x14ac:dyDescent="0.25">
      <c r="Z21" s="90"/>
      <c r="AA21" s="13"/>
    </row>
    <row r="22" spans="4:44" x14ac:dyDescent="0.2"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</sheetData>
  <hyperlinks>
    <hyperlink ref="B2" location="'Financial Supplement&gt;&gt;&gt;'!A1" display="ÍNDICE" xr:uid="{BA77F38F-87DE-45C6-8D04-BF56E5A0FA25}"/>
  </hyperlinks>
  <pageMargins left="0.7" right="0.7" top="0.75" bottom="0.75" header="0.3" footer="0.3"/>
  <pageSetup paperSize="9" scale="71" orientation="landscape" r:id="rId1"/>
  <ignoredErrors>
    <ignoredError sqref="E11:R11 S11:Y11" formulaRange="1"/>
    <ignoredError sqref="AD5:AH10 AL5:AL11 AP5:AP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F29-0156-4BCA-8D4F-6FCAD2D6AE44}">
  <sheetPr>
    <tabColor theme="1" tint="0.249977111117893"/>
  </sheetPr>
  <dimension ref="A1:L24"/>
  <sheetViews>
    <sheetView showGridLines="0" zoomScaleNormal="100" workbookViewId="0"/>
  </sheetViews>
  <sheetFormatPr baseColWidth="10" defaultRowHeight="12.7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1.28515625" style="166" customWidth="1"/>
    <col min="5" max="5" width="13.28515625" style="166" customWidth="1"/>
    <col min="6" max="7" width="13.28515625" style="166" hidden="1" customWidth="1" outlineLevel="1"/>
    <col min="8" max="8" width="13.28515625" style="166" customWidth="1" collapsed="1"/>
    <col min="9" max="9" width="13.28515625" style="166" customWidth="1"/>
    <col min="10" max="10" width="13.28515625" style="166" hidden="1" customWidth="1" outlineLevel="1" collapsed="1"/>
    <col min="11" max="11" width="13.28515625" style="166" hidden="1" customWidth="1" outlineLevel="1"/>
    <col min="12" max="12" width="13.28515625" style="166" customWidth="1" collapsed="1"/>
    <col min="13" max="13" width="11.42578125" style="166"/>
    <col min="14" max="14" width="12.28515625" style="166" bestFit="1" customWidth="1"/>
    <col min="15" max="16384" width="11.42578125" style="166"/>
  </cols>
  <sheetData>
    <row r="1" spans="1:12" ht="16.5" customHeight="1" x14ac:dyDescent="0.2"/>
    <row r="2" spans="1:12" ht="18.75" customHeight="1" thickBot="1" x14ac:dyDescent="0.25">
      <c r="B2" s="11" t="s">
        <v>32</v>
      </c>
      <c r="D2" s="14" t="s">
        <v>206</v>
      </c>
      <c r="E2" s="14"/>
      <c r="F2" s="14"/>
      <c r="G2" s="14"/>
      <c r="H2" s="14"/>
      <c r="I2" s="14"/>
      <c r="J2" s="14"/>
      <c r="K2" s="14"/>
      <c r="L2" s="14"/>
    </row>
    <row r="3" spans="1:12" ht="16.5" customHeight="1" x14ac:dyDescent="0.2"/>
    <row r="4" spans="1:12" ht="15.75" customHeight="1" thickBot="1" x14ac:dyDescent="0.3">
      <c r="A4" s="10"/>
      <c r="B4" s="10"/>
      <c r="C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215</v>
      </c>
      <c r="L4" s="36" t="s">
        <v>219</v>
      </c>
    </row>
    <row r="5" spans="1:12" ht="15" customHeight="1" x14ac:dyDescent="0.25">
      <c r="A5" s="10"/>
      <c r="B5" s="10"/>
      <c r="C5" s="10"/>
      <c r="D5" s="33" t="s">
        <v>207</v>
      </c>
      <c r="E5" s="37">
        <v>78758</v>
      </c>
      <c r="F5" s="37">
        <v>-7046</v>
      </c>
      <c r="G5" s="37">
        <v>-20504</v>
      </c>
      <c r="H5" s="37">
        <v>-19976</v>
      </c>
      <c r="I5" s="37">
        <v>-13806</v>
      </c>
      <c r="J5" s="37">
        <v>12608.245320000178</v>
      </c>
      <c r="K5" s="37">
        <v>36066.063529999999</v>
      </c>
      <c r="L5" s="38">
        <v>55453.866717491881</v>
      </c>
    </row>
    <row r="6" spans="1:12" ht="15" customHeight="1" x14ac:dyDescent="0.25">
      <c r="A6" s="10"/>
      <c r="B6" s="10"/>
      <c r="C6" s="10"/>
      <c r="D6" s="39" t="s">
        <v>222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1">
        <v>715.25936999999999</v>
      </c>
    </row>
    <row r="7" spans="1:12" ht="15" customHeight="1" x14ac:dyDescent="0.25">
      <c r="A7" s="10"/>
      <c r="B7" s="10"/>
      <c r="C7" s="10"/>
      <c r="D7" s="33"/>
      <c r="E7" s="37"/>
      <c r="F7" s="37"/>
      <c r="G7" s="37"/>
      <c r="H7" s="37"/>
      <c r="I7" s="37"/>
      <c r="J7" s="37"/>
      <c r="K7" s="37"/>
      <c r="L7" s="38"/>
    </row>
    <row r="8" spans="1:12" ht="15" customHeight="1" x14ac:dyDescent="0.25">
      <c r="A8" s="10"/>
      <c r="B8" s="10"/>
      <c r="C8" s="10"/>
      <c r="D8" s="33" t="s">
        <v>221</v>
      </c>
      <c r="E8" s="37">
        <f t="shared" ref="E8:K8" si="0">E5+E6</f>
        <v>78758</v>
      </c>
      <c r="F8" s="37">
        <f t="shared" si="0"/>
        <v>-7046</v>
      </c>
      <c r="G8" s="37">
        <f t="shared" si="0"/>
        <v>-20504</v>
      </c>
      <c r="H8" s="37">
        <f t="shared" si="0"/>
        <v>-19976</v>
      </c>
      <c r="I8" s="37">
        <f t="shared" si="0"/>
        <v>-13806</v>
      </c>
      <c r="J8" s="37">
        <f t="shared" si="0"/>
        <v>12608.245320000178</v>
      </c>
      <c r="K8" s="37">
        <f t="shared" si="0"/>
        <v>36066.063529999999</v>
      </c>
      <c r="L8" s="38">
        <f>L5+L6</f>
        <v>56169.126087491881</v>
      </c>
    </row>
    <row r="9" spans="1:12" ht="15" customHeight="1" x14ac:dyDescent="0.25">
      <c r="A9" s="10"/>
      <c r="B9" s="10"/>
      <c r="C9" s="10"/>
      <c r="D9" s="39" t="s">
        <v>214</v>
      </c>
      <c r="E9" s="40">
        <v>4480</v>
      </c>
      <c r="F9" s="40">
        <v>1161</v>
      </c>
      <c r="G9" s="40">
        <v>2981</v>
      </c>
      <c r="H9" s="40">
        <v>6887</v>
      </c>
      <c r="I9" s="40">
        <v>13559</v>
      </c>
      <c r="J9" s="40">
        <v>2872</v>
      </c>
      <c r="K9" s="40">
        <v>5052</v>
      </c>
      <c r="L9" s="41">
        <v>6286.7215527145854</v>
      </c>
    </row>
    <row r="10" spans="1:12" ht="15" customHeight="1" x14ac:dyDescent="0.25">
      <c r="A10" s="10"/>
      <c r="B10" s="10"/>
      <c r="C10" s="10"/>
      <c r="D10" s="39" t="s">
        <v>209</v>
      </c>
      <c r="E10" s="56" t="s">
        <v>192</v>
      </c>
      <c r="F10" s="40">
        <v>-1106</v>
      </c>
      <c r="G10" s="40">
        <v>-2379</v>
      </c>
      <c r="H10" s="40">
        <v>-2637</v>
      </c>
      <c r="I10" s="40">
        <v>-3238</v>
      </c>
      <c r="J10" s="40">
        <v>-157</v>
      </c>
      <c r="K10" s="40">
        <v>-2328</v>
      </c>
      <c r="L10" s="41">
        <v>-2470.0103799999997</v>
      </c>
    </row>
    <row r="11" spans="1:12" ht="15" customHeight="1" x14ac:dyDescent="0.25">
      <c r="A11" s="10"/>
      <c r="B11" s="10"/>
      <c r="C11" s="10"/>
      <c r="D11" s="39" t="s">
        <v>213</v>
      </c>
      <c r="E11" s="56" t="s">
        <v>192</v>
      </c>
      <c r="F11" s="40">
        <v>-58</v>
      </c>
      <c r="G11" s="40">
        <v>-4</v>
      </c>
      <c r="H11" s="40">
        <v>-19</v>
      </c>
      <c r="I11" s="40">
        <v>-39</v>
      </c>
      <c r="J11" s="40">
        <v>-59</v>
      </c>
      <c r="K11" s="40">
        <v>-2</v>
      </c>
      <c r="L11" s="41">
        <v>-30.016490861865488</v>
      </c>
    </row>
    <row r="12" spans="1:12" ht="15" customHeight="1" x14ac:dyDescent="0.25">
      <c r="A12" s="10"/>
      <c r="B12" s="10"/>
      <c r="C12" s="10"/>
      <c r="D12" s="39" t="s">
        <v>210</v>
      </c>
      <c r="E12" s="56" t="s">
        <v>192</v>
      </c>
      <c r="F12" s="40">
        <v>420</v>
      </c>
      <c r="G12" s="40">
        <v>1314</v>
      </c>
      <c r="H12" s="40">
        <v>1615</v>
      </c>
      <c r="I12" s="40">
        <v>1794</v>
      </c>
      <c r="J12" s="40">
        <v>583</v>
      </c>
      <c r="K12" s="40">
        <v>-133</v>
      </c>
      <c r="L12" s="41">
        <v>595.22306000000049</v>
      </c>
    </row>
    <row r="13" spans="1:12" ht="15" customHeight="1" x14ac:dyDescent="0.25">
      <c r="A13" s="10"/>
      <c r="B13" s="10"/>
      <c r="C13" s="10"/>
      <c r="D13" s="39" t="s">
        <v>211</v>
      </c>
      <c r="E13" s="40">
        <v>425</v>
      </c>
      <c r="F13" s="40">
        <v>-425</v>
      </c>
      <c r="G13" s="40">
        <v>-1278</v>
      </c>
      <c r="H13" s="40">
        <v>-2735</v>
      </c>
      <c r="I13" s="40">
        <v>-4646</v>
      </c>
      <c r="J13" s="40">
        <v>-2182</v>
      </c>
      <c r="K13" s="40">
        <v>-4313</v>
      </c>
      <c r="L13" s="41">
        <v>-6526.7466493054526</v>
      </c>
    </row>
    <row r="14" spans="1:12" ht="15" customHeight="1" thickBot="1" x14ac:dyDescent="0.3">
      <c r="A14" s="10"/>
      <c r="B14" s="10"/>
      <c r="C14" s="10"/>
      <c r="D14" s="39" t="s">
        <v>212</v>
      </c>
      <c r="E14" s="40">
        <v>-103</v>
      </c>
      <c r="F14" s="40">
        <v>-4</v>
      </c>
      <c r="G14" s="40">
        <v>-14</v>
      </c>
      <c r="H14" s="40">
        <v>-179</v>
      </c>
      <c r="I14" s="40">
        <v>-171</v>
      </c>
      <c r="J14" s="40">
        <v>25</v>
      </c>
      <c r="K14" s="40">
        <v>-57</v>
      </c>
      <c r="L14" s="41">
        <v>-147.72429084824898</v>
      </c>
    </row>
    <row r="15" spans="1:12" ht="15" customHeight="1" thickBot="1" x14ac:dyDescent="0.3">
      <c r="A15" s="10"/>
      <c r="B15" s="10"/>
      <c r="C15" s="10"/>
      <c r="D15" s="42" t="s">
        <v>208</v>
      </c>
      <c r="E15" s="43">
        <f t="shared" ref="E15:K15" si="1">SUM(E8:E14)</f>
        <v>83560</v>
      </c>
      <c r="F15" s="43">
        <f t="shared" si="1"/>
        <v>-7058</v>
      </c>
      <c r="G15" s="43">
        <f t="shared" si="1"/>
        <v>-19884</v>
      </c>
      <c r="H15" s="43">
        <f t="shared" si="1"/>
        <v>-17044</v>
      </c>
      <c r="I15" s="43">
        <f t="shared" si="1"/>
        <v>-6547</v>
      </c>
      <c r="J15" s="43">
        <f t="shared" si="1"/>
        <v>13690.245320000178</v>
      </c>
      <c r="K15" s="43">
        <f t="shared" si="1"/>
        <v>34285.063529999999</v>
      </c>
      <c r="L15" s="44">
        <f>SUM(L8:L14)</f>
        <v>53876.572889190902</v>
      </c>
    </row>
    <row r="16" spans="1:12" ht="9" customHeight="1" x14ac:dyDescent="0.25">
      <c r="A16" s="10"/>
      <c r="B16" s="10"/>
      <c r="C16" s="10"/>
      <c r="D16" s="167"/>
      <c r="E16" s="40"/>
      <c r="F16" s="40"/>
      <c r="G16" s="40"/>
      <c r="H16" s="40"/>
      <c r="I16" s="40"/>
      <c r="J16" s="40"/>
      <c r="K16" s="40"/>
    </row>
    <row r="17" spans="1:12" ht="14.25" x14ac:dyDescent="0.25">
      <c r="A17" s="10"/>
      <c r="B17" s="10"/>
      <c r="C17" s="10"/>
      <c r="E17" s="27"/>
      <c r="F17" s="27"/>
      <c r="G17" s="27"/>
      <c r="H17" s="27"/>
      <c r="I17" s="27"/>
      <c r="J17" s="27"/>
      <c r="K17" s="27"/>
      <c r="L17" s="27" t="s">
        <v>46</v>
      </c>
    </row>
    <row r="18" spans="1:12" ht="14.25" x14ac:dyDescent="0.25">
      <c r="A18" s="10"/>
      <c r="B18" s="10"/>
      <c r="C18" s="10"/>
      <c r="E18" s="27"/>
      <c r="F18" s="27"/>
      <c r="G18" s="27"/>
      <c r="H18" s="27"/>
      <c r="I18" s="27"/>
      <c r="J18" s="27"/>
      <c r="K18" s="27"/>
      <c r="L18" s="27"/>
    </row>
    <row r="19" spans="1:12" ht="14.25" x14ac:dyDescent="0.25">
      <c r="A19" s="10"/>
      <c r="B19" s="10"/>
      <c r="C19" s="10"/>
      <c r="E19" s="168"/>
      <c r="F19" s="168"/>
      <c r="G19" s="168"/>
      <c r="H19" s="168"/>
      <c r="I19" s="168"/>
      <c r="J19" s="168"/>
      <c r="K19" s="168"/>
      <c r="L19" s="168"/>
    </row>
    <row r="20" spans="1:12" ht="14.25" x14ac:dyDescent="0.25">
      <c r="A20" s="10"/>
      <c r="B20" s="10"/>
      <c r="C20" s="10"/>
    </row>
    <row r="21" spans="1:12" ht="14.25" x14ac:dyDescent="0.25">
      <c r="A21" s="10"/>
      <c r="B21" s="10"/>
      <c r="C21" s="10"/>
    </row>
    <row r="22" spans="1:12" ht="14.25" x14ac:dyDescent="0.25">
      <c r="A22" s="10"/>
      <c r="B22" s="10"/>
      <c r="C22" s="10"/>
    </row>
    <row r="23" spans="1:12" ht="14.25" x14ac:dyDescent="0.25">
      <c r="A23" s="10"/>
      <c r="B23" s="10"/>
      <c r="C23" s="10"/>
    </row>
    <row r="24" spans="1:12" ht="14.25" x14ac:dyDescent="0.25">
      <c r="A24" s="10"/>
      <c r="B24" s="10"/>
      <c r="C24" s="10"/>
    </row>
  </sheetData>
  <hyperlinks>
    <hyperlink ref="B2" location="'Financial Supplement&gt;&gt;&gt;'!A1" display="ÍNDICE" xr:uid="{2E54440A-F9B1-4116-BD9B-AA445640629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5C-D15E-42C7-B102-04612495D9DE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42578125" style="73" bestFit="1" customWidth="1"/>
    <col min="5" max="5" width="13.42578125" style="73" customWidth="1"/>
    <col min="6" max="6" width="2" style="73" customWidth="1"/>
    <col min="7" max="7" width="13.42578125" style="73" customWidth="1"/>
    <col min="8" max="16384" width="11.42578125" style="73"/>
  </cols>
  <sheetData>
    <row r="1" spans="2:7" ht="16.5" customHeight="1" x14ac:dyDescent="0.2"/>
    <row r="2" spans="2:7" ht="18.75" customHeight="1" thickBot="1" x14ac:dyDescent="0.25">
      <c r="B2" s="11" t="s">
        <v>32</v>
      </c>
      <c r="D2" s="14" t="s">
        <v>187</v>
      </c>
      <c r="E2" s="14"/>
      <c r="F2" s="14"/>
      <c r="G2" s="14"/>
    </row>
    <row r="4" spans="2:7" ht="15.75" thickBot="1" x14ac:dyDescent="0.25">
      <c r="D4" s="100" t="s">
        <v>219</v>
      </c>
      <c r="E4" s="17" t="s">
        <v>31</v>
      </c>
      <c r="F4" s="101"/>
      <c r="G4" s="102" t="s">
        <v>169</v>
      </c>
    </row>
    <row r="5" spans="2:7" x14ac:dyDescent="0.2">
      <c r="D5" s="19" t="s">
        <v>170</v>
      </c>
      <c r="E5" s="103">
        <v>718880.30748000019</v>
      </c>
      <c r="F5" s="81"/>
      <c r="G5" s="104"/>
    </row>
    <row r="6" spans="2:7" x14ac:dyDescent="0.2">
      <c r="D6" s="19" t="s">
        <v>171</v>
      </c>
      <c r="E6" s="103">
        <v>0</v>
      </c>
      <c r="F6" s="19"/>
      <c r="G6" s="105">
        <v>718695.53736775497</v>
      </c>
    </row>
    <row r="7" spans="2:7" x14ac:dyDescent="0.2">
      <c r="D7" s="19"/>
      <c r="E7" s="103"/>
      <c r="F7" s="19"/>
      <c r="G7" s="105"/>
    </row>
    <row r="8" spans="2:7" ht="15" customHeight="1" x14ac:dyDescent="0.2">
      <c r="D8" s="106" t="s">
        <v>172</v>
      </c>
      <c r="E8" s="107">
        <f>SUM(E9:E14)</f>
        <v>-554372.69594059943</v>
      </c>
      <c r="F8" s="19"/>
      <c r="G8" s="108">
        <f>SUM(G9:G14)</f>
        <v>-527584.48815628421</v>
      </c>
    </row>
    <row r="9" spans="2:7" x14ac:dyDescent="0.2">
      <c r="D9" s="19" t="s">
        <v>173</v>
      </c>
      <c r="E9" s="103">
        <v>-438168.09324999998</v>
      </c>
      <c r="F9" s="19"/>
      <c r="G9" s="105">
        <v>-418816.99131999997</v>
      </c>
    </row>
    <row r="10" spans="2:7" x14ac:dyDescent="0.2">
      <c r="D10" s="19" t="s">
        <v>188</v>
      </c>
      <c r="E10" s="103">
        <v>-21929.620939999924</v>
      </c>
      <c r="F10" s="19"/>
      <c r="G10" s="105">
        <v>-14738.438607285154</v>
      </c>
    </row>
    <row r="11" spans="2:7" x14ac:dyDescent="0.2">
      <c r="D11" s="19" t="s">
        <v>174</v>
      </c>
      <c r="E11" s="103">
        <v>-94274.981750599545</v>
      </c>
      <c r="F11" s="19"/>
      <c r="G11" s="105">
        <v>-94026.478908999125</v>
      </c>
    </row>
    <row r="12" spans="2:7" x14ac:dyDescent="0.2">
      <c r="D12" s="19" t="s">
        <v>175</v>
      </c>
      <c r="E12" s="103">
        <v>0</v>
      </c>
      <c r="F12" s="19"/>
      <c r="G12" s="105">
        <v>0</v>
      </c>
    </row>
    <row r="13" spans="2:7" x14ac:dyDescent="0.2">
      <c r="D13" s="109" t="s">
        <v>176</v>
      </c>
      <c r="E13" s="103">
        <v>0</v>
      </c>
      <c r="F13" s="19"/>
      <c r="G13" s="105">
        <v>0</v>
      </c>
    </row>
    <row r="14" spans="2:7" ht="13.5" thickBot="1" x14ac:dyDescent="0.25">
      <c r="D14" s="19" t="s">
        <v>177</v>
      </c>
      <c r="E14" s="103">
        <v>0</v>
      </c>
      <c r="F14" s="19"/>
      <c r="G14" s="105">
        <v>-2.5793200000001724</v>
      </c>
    </row>
    <row r="15" spans="2:7" ht="15" customHeight="1" thickBot="1" x14ac:dyDescent="0.25">
      <c r="D15" s="110" t="s">
        <v>178</v>
      </c>
      <c r="E15" s="111">
        <f>-E8/E5</f>
        <v>0.77116133266179709</v>
      </c>
      <c r="F15" s="112"/>
      <c r="G15" s="113">
        <f>-G8/G6</f>
        <v>0.73408621693767429</v>
      </c>
    </row>
    <row r="16" spans="2:7" x14ac:dyDescent="0.2">
      <c r="D16" s="19"/>
      <c r="E16" s="19"/>
      <c r="F16" s="19"/>
      <c r="G16" s="114"/>
    </row>
    <row r="17" spans="4:7" ht="15" customHeight="1" x14ac:dyDescent="0.2">
      <c r="D17" s="106" t="s">
        <v>179</v>
      </c>
      <c r="E17" s="107">
        <f>+SUM(E18:E24)</f>
        <v>-138535.81506313407</v>
      </c>
      <c r="F17" s="19"/>
      <c r="G17" s="108">
        <f>+SUM(G18:G24)</f>
        <v>-158258.72943705731</v>
      </c>
    </row>
    <row r="18" spans="4:7" x14ac:dyDescent="0.2">
      <c r="D18" s="19" t="s">
        <v>180</v>
      </c>
      <c r="E18" s="103">
        <v>-136332.99547936145</v>
      </c>
      <c r="F18" s="19"/>
      <c r="G18" s="115">
        <v>-135420.923759981</v>
      </c>
    </row>
    <row r="19" spans="4:7" x14ac:dyDescent="0.2">
      <c r="D19" s="19" t="s">
        <v>181</v>
      </c>
      <c r="E19" s="103">
        <v>-18942.29799377262</v>
      </c>
      <c r="F19" s="19"/>
      <c r="G19" s="115">
        <v>-18795.711149826286</v>
      </c>
    </row>
    <row r="20" spans="4:7" x14ac:dyDescent="0.2">
      <c r="D20" s="116" t="s">
        <v>182</v>
      </c>
      <c r="E20" s="20">
        <v>0</v>
      </c>
      <c r="F20" s="19"/>
      <c r="G20" s="115">
        <v>-1250.7362272500309</v>
      </c>
    </row>
    <row r="21" spans="4:7" x14ac:dyDescent="0.2">
      <c r="D21" s="116" t="s">
        <v>183</v>
      </c>
      <c r="E21" s="20">
        <v>-3542.6803599999998</v>
      </c>
      <c r="F21" s="19"/>
      <c r="G21" s="115">
        <v>-2820.5336800000005</v>
      </c>
    </row>
    <row r="22" spans="4:7" x14ac:dyDescent="0.2">
      <c r="D22" s="116" t="s">
        <v>184</v>
      </c>
      <c r="E22" s="20">
        <v>29.175380000000001</v>
      </c>
      <c r="F22" s="19"/>
      <c r="G22" s="115">
        <v>29.175380000000001</v>
      </c>
    </row>
    <row r="23" spans="4:7" x14ac:dyDescent="0.2">
      <c r="D23" s="116" t="s">
        <v>189</v>
      </c>
      <c r="E23" s="20">
        <v>20490.794239999996</v>
      </c>
      <c r="F23" s="19"/>
      <c r="G23" s="115">
        <v>0</v>
      </c>
    </row>
    <row r="24" spans="4:7" ht="13.5" thickBot="1" x14ac:dyDescent="0.25">
      <c r="D24" s="116" t="s">
        <v>185</v>
      </c>
      <c r="E24" s="20">
        <v>-237.81084999999999</v>
      </c>
      <c r="F24" s="19"/>
      <c r="G24" s="115">
        <v>0</v>
      </c>
    </row>
    <row r="25" spans="4:7" ht="15" customHeight="1" thickBot="1" x14ac:dyDescent="0.25">
      <c r="D25" s="111" t="s">
        <v>186</v>
      </c>
      <c r="E25" s="111">
        <f>-E17/E5</f>
        <v>0.19271054391344311</v>
      </c>
      <c r="F25" s="112"/>
      <c r="G25" s="113">
        <f>-G17/G6</f>
        <v>0.2202027440113026</v>
      </c>
    </row>
    <row r="26" spans="4:7" x14ac:dyDescent="0.2">
      <c r="D26" s="19"/>
      <c r="E26" s="19"/>
      <c r="F26" s="19"/>
      <c r="G26" s="114"/>
    </row>
    <row r="27" spans="4:7" ht="15" customHeight="1" x14ac:dyDescent="0.2">
      <c r="D27" s="117" t="s">
        <v>55</v>
      </c>
      <c r="E27" s="118">
        <f>E25+E15</f>
        <v>0.96387187657524021</v>
      </c>
      <c r="F27" s="112"/>
      <c r="G27" s="119">
        <f>G25+G15</f>
        <v>0.95428896094897686</v>
      </c>
    </row>
    <row r="28" spans="4:7" ht="9" customHeight="1" x14ac:dyDescent="0.2">
      <c r="D28" s="33"/>
      <c r="E28" s="63"/>
      <c r="F28" s="63"/>
      <c r="G28" s="63"/>
    </row>
    <row r="29" spans="4:7" x14ac:dyDescent="0.2">
      <c r="G29" s="27" t="s">
        <v>46</v>
      </c>
    </row>
  </sheetData>
  <hyperlinks>
    <hyperlink ref="B2" location="'Financial Supplement&gt;&gt;&gt;'!A1" display="ÍNDICE" xr:uid="{AA0D81CE-6027-401D-87DD-BC3C55863D20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32</v>
      </c>
    </row>
  </sheetData>
  <hyperlinks>
    <hyperlink ref="C2" location="'Financial Supplement&gt;&gt;&gt;'!A1" display="ÍNDICE" xr:uid="{95A9D21C-52ED-448D-AC93-6442D53310C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39" style="73" customWidth="1"/>
    <col min="5" max="10" width="13.5703125" style="73" customWidth="1"/>
    <col min="11" max="11" width="9.7109375" style="73" customWidth="1"/>
    <col min="12" max="16384" width="10.85546875" style="73"/>
  </cols>
  <sheetData>
    <row r="1" spans="2:12" ht="16.5" customHeight="1" x14ac:dyDescent="0.2"/>
    <row r="2" spans="2:12" ht="18.75" customHeight="1" thickBot="1" x14ac:dyDescent="0.25">
      <c r="B2" s="11" t="s">
        <v>32</v>
      </c>
      <c r="D2" s="14" t="s">
        <v>121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20" t="s">
        <v>6</v>
      </c>
      <c r="F4" s="120" t="s">
        <v>3</v>
      </c>
      <c r="G4" s="120" t="s">
        <v>4</v>
      </c>
      <c r="H4" s="120" t="s">
        <v>14</v>
      </c>
      <c r="I4" s="120" t="s">
        <v>16</v>
      </c>
      <c r="J4" s="120" t="s">
        <v>20</v>
      </c>
      <c r="K4" s="172" t="s">
        <v>219</v>
      </c>
      <c r="L4" s="173"/>
    </row>
    <row r="5" spans="2:12" x14ac:dyDescent="0.2">
      <c r="D5" s="121" t="s">
        <v>122</v>
      </c>
      <c r="E5" s="122">
        <f t="shared" ref="E5:K5" si="0">E6+E13</f>
        <v>696945.09054</v>
      </c>
      <c r="F5" s="122">
        <f t="shared" si="0"/>
        <v>720797.13546999998</v>
      </c>
      <c r="G5" s="122">
        <f t="shared" si="0"/>
        <v>801209.28558999998</v>
      </c>
      <c r="H5" s="122">
        <f t="shared" si="0"/>
        <v>722005</v>
      </c>
      <c r="I5" s="122">
        <f t="shared" si="0"/>
        <v>618778</v>
      </c>
      <c r="J5" s="122">
        <f t="shared" si="0"/>
        <v>759821</v>
      </c>
      <c r="K5" s="123">
        <f t="shared" si="0"/>
        <v>832565.94124000007</v>
      </c>
      <c r="L5" s="124">
        <f>K5/K$22</f>
        <v>0.80867093418994695</v>
      </c>
    </row>
    <row r="6" spans="2:12" x14ac:dyDescent="0.2">
      <c r="D6" s="125" t="s">
        <v>123</v>
      </c>
      <c r="E6" s="122">
        <f t="shared" ref="E6:I6" si="1">SUM(E7:E12)</f>
        <v>397566.68119000003</v>
      </c>
      <c r="F6" s="122">
        <f t="shared" si="1"/>
        <v>394655.81483999995</v>
      </c>
      <c r="G6" s="122">
        <f t="shared" si="1"/>
        <v>438763.14398999995</v>
      </c>
      <c r="H6" s="122">
        <f t="shared" si="1"/>
        <v>396345</v>
      </c>
      <c r="I6" s="122">
        <f t="shared" si="1"/>
        <v>356496</v>
      </c>
      <c r="J6" s="122">
        <f t="shared" ref="J6:K6" si="2">SUM(J7:J12)</f>
        <v>380665</v>
      </c>
      <c r="K6" s="123">
        <f t="shared" si="2"/>
        <v>339220.68002000009</v>
      </c>
      <c r="L6" s="124">
        <f t="shared" ref="L6:L21" si="3">K6/K$22</f>
        <v>0.32948489797668307</v>
      </c>
    </row>
    <row r="7" spans="2:12" x14ac:dyDescent="0.2">
      <c r="D7" s="126" t="s">
        <v>124</v>
      </c>
      <c r="E7" s="127">
        <v>263898.88505000004</v>
      </c>
      <c r="F7" s="127">
        <v>247394.05644000001</v>
      </c>
      <c r="G7" s="127">
        <v>216811.94155999995</v>
      </c>
      <c r="H7" s="127">
        <v>184414</v>
      </c>
      <c r="I7" s="127">
        <v>168561</v>
      </c>
      <c r="J7" s="127">
        <v>158454</v>
      </c>
      <c r="K7" s="128">
        <v>137757.76963</v>
      </c>
      <c r="L7" s="129">
        <f t="shared" si="3"/>
        <v>0.13380406132479855</v>
      </c>
    </row>
    <row r="8" spans="2:12" x14ac:dyDescent="0.2">
      <c r="D8" s="126" t="s">
        <v>125</v>
      </c>
      <c r="E8" s="127">
        <v>80202.5</v>
      </c>
      <c r="F8" s="127">
        <v>91853.940789999993</v>
      </c>
      <c r="G8" s="127">
        <v>157271.44813</v>
      </c>
      <c r="H8" s="127">
        <v>150362</v>
      </c>
      <c r="I8" s="127">
        <v>132418</v>
      </c>
      <c r="J8" s="127">
        <v>137437</v>
      </c>
      <c r="K8" s="128">
        <v>116817.22649</v>
      </c>
      <c r="L8" s="129">
        <f t="shared" si="3"/>
        <v>0.11346452094166969</v>
      </c>
    </row>
    <row r="9" spans="2:12" x14ac:dyDescent="0.2">
      <c r="D9" s="126" t="s">
        <v>5</v>
      </c>
      <c r="E9" s="127">
        <v>47496.68894</v>
      </c>
      <c r="F9" s="127">
        <v>48972.218159999997</v>
      </c>
      <c r="G9" s="127">
        <v>57670.556810000002</v>
      </c>
      <c r="H9" s="127">
        <v>47717</v>
      </c>
      <c r="I9" s="127">
        <v>44593</v>
      </c>
      <c r="J9" s="127">
        <v>14779</v>
      </c>
      <c r="K9" s="128">
        <v>15032.674360000001</v>
      </c>
      <c r="L9" s="129">
        <f t="shared" si="3"/>
        <v>1.4601230023857254E-2</v>
      </c>
    </row>
    <row r="10" spans="2:12" x14ac:dyDescent="0.2">
      <c r="D10" s="126" t="s">
        <v>126</v>
      </c>
      <c r="E10" s="127">
        <v>4214.27945</v>
      </c>
      <c r="F10" s="127">
        <v>4648.5994499999997</v>
      </c>
      <c r="G10" s="130">
        <v>0</v>
      </c>
      <c r="H10" s="130">
        <v>0</v>
      </c>
      <c r="I10" s="130">
        <v>0</v>
      </c>
      <c r="J10" s="130">
        <v>0</v>
      </c>
      <c r="K10" s="128">
        <v>0</v>
      </c>
      <c r="L10" s="129">
        <f t="shared" si="3"/>
        <v>0</v>
      </c>
    </row>
    <row r="11" spans="2:12" x14ac:dyDescent="0.2">
      <c r="D11" s="126" t="s">
        <v>127</v>
      </c>
      <c r="E11" s="127">
        <v>1754.3277499999999</v>
      </c>
      <c r="F11" s="127">
        <v>1787</v>
      </c>
      <c r="G11" s="127">
        <v>1629.18226</v>
      </c>
      <c r="H11" s="127">
        <v>2965</v>
      </c>
      <c r="I11" s="127">
        <v>989</v>
      </c>
      <c r="J11" s="127">
        <v>997</v>
      </c>
      <c r="K11" s="128">
        <v>0</v>
      </c>
      <c r="L11" s="129">
        <f t="shared" si="3"/>
        <v>0</v>
      </c>
    </row>
    <row r="12" spans="2:12" x14ac:dyDescent="0.2">
      <c r="D12" s="126" t="s">
        <v>38</v>
      </c>
      <c r="E12" s="130">
        <v>0</v>
      </c>
      <c r="F12" s="130">
        <v>0</v>
      </c>
      <c r="G12" s="127">
        <v>5380.01523</v>
      </c>
      <c r="H12" s="127">
        <v>10887</v>
      </c>
      <c r="I12" s="127">
        <v>9935</v>
      </c>
      <c r="J12" s="127">
        <v>68998</v>
      </c>
      <c r="K12" s="128">
        <v>69613.009540000086</v>
      </c>
      <c r="L12" s="129">
        <f t="shared" si="3"/>
        <v>6.7615085686357587E-2</v>
      </c>
    </row>
    <row r="13" spans="2:12" x14ac:dyDescent="0.2">
      <c r="D13" s="125" t="s">
        <v>128</v>
      </c>
      <c r="E13" s="122">
        <f t="shared" ref="E13:I13" si="4">SUM(E14:E17)</f>
        <v>299378.40934999997</v>
      </c>
      <c r="F13" s="122">
        <f t="shared" si="4"/>
        <v>326141.32063000003</v>
      </c>
      <c r="G13" s="122">
        <f t="shared" si="4"/>
        <v>362446.14160000003</v>
      </c>
      <c r="H13" s="122">
        <f t="shared" si="4"/>
        <v>325660</v>
      </c>
      <c r="I13" s="122">
        <f t="shared" si="4"/>
        <v>262282</v>
      </c>
      <c r="J13" s="122">
        <f t="shared" ref="J13:K13" si="5">SUM(J14:J17)</f>
        <v>379156</v>
      </c>
      <c r="K13" s="123">
        <f t="shared" si="5"/>
        <v>493345.26122000004</v>
      </c>
      <c r="L13" s="124">
        <f t="shared" si="3"/>
        <v>0.47918603621326394</v>
      </c>
    </row>
    <row r="14" spans="2:12" x14ac:dyDescent="0.2">
      <c r="D14" s="126" t="s">
        <v>124</v>
      </c>
      <c r="E14" s="127">
        <v>137460.92869</v>
      </c>
      <c r="F14" s="127">
        <v>169933.97990999999</v>
      </c>
      <c r="G14" s="127">
        <v>199091</v>
      </c>
      <c r="H14" s="127">
        <v>161222</v>
      </c>
      <c r="I14" s="127">
        <v>132278</v>
      </c>
      <c r="J14" s="127">
        <v>189240</v>
      </c>
      <c r="K14" s="128">
        <v>186586.01254000005</v>
      </c>
      <c r="L14" s="129">
        <f t="shared" si="3"/>
        <v>0.18123091228398397</v>
      </c>
    </row>
    <row r="15" spans="2:12" x14ac:dyDescent="0.2">
      <c r="D15" s="126" t="s">
        <v>129</v>
      </c>
      <c r="E15" s="127">
        <v>130336.4</v>
      </c>
      <c r="F15" s="127">
        <v>123472.05232</v>
      </c>
      <c r="G15" s="127">
        <v>137084.19157</v>
      </c>
      <c r="H15" s="127">
        <v>112100</v>
      </c>
      <c r="I15" s="127">
        <v>89057</v>
      </c>
      <c r="J15" s="127">
        <v>118929</v>
      </c>
      <c r="K15" s="128">
        <v>185028.91369000002</v>
      </c>
      <c r="L15" s="129">
        <f t="shared" si="3"/>
        <v>0.17971850285274993</v>
      </c>
    </row>
    <row r="16" spans="2:12" x14ac:dyDescent="0.2">
      <c r="D16" s="126" t="s">
        <v>130</v>
      </c>
      <c r="E16" s="130">
        <v>0</v>
      </c>
      <c r="F16" s="130">
        <v>0</v>
      </c>
      <c r="G16" s="130">
        <v>0</v>
      </c>
      <c r="H16" s="127">
        <v>22386</v>
      </c>
      <c r="I16" s="127">
        <v>13527</v>
      </c>
      <c r="J16" s="127">
        <v>22956</v>
      </c>
      <c r="K16" s="128">
        <v>24790.259249999999</v>
      </c>
      <c r="L16" s="129">
        <f t="shared" si="3"/>
        <v>2.4078767955185387E-2</v>
      </c>
    </row>
    <row r="17" spans="4:12" x14ac:dyDescent="0.2">
      <c r="D17" s="126" t="s">
        <v>131</v>
      </c>
      <c r="E17" s="127">
        <v>31581.080659999996</v>
      </c>
      <c r="F17" s="127">
        <v>32735.288400000001</v>
      </c>
      <c r="G17" s="127">
        <v>26270.950030000004</v>
      </c>
      <c r="H17" s="127">
        <v>29952</v>
      </c>
      <c r="I17" s="127">
        <v>27420</v>
      </c>
      <c r="J17" s="127">
        <v>48031</v>
      </c>
      <c r="K17" s="128">
        <v>96940.075739999942</v>
      </c>
      <c r="L17" s="129">
        <f t="shared" si="3"/>
        <v>9.4157853121344628E-2</v>
      </c>
    </row>
    <row r="18" spans="4:12" x14ac:dyDescent="0.2">
      <c r="D18" s="121" t="s">
        <v>132</v>
      </c>
      <c r="E18" s="122">
        <v>45094</v>
      </c>
      <c r="F18" s="122">
        <v>59231</v>
      </c>
      <c r="G18" s="122">
        <v>60536</v>
      </c>
      <c r="H18" s="122">
        <v>75237</v>
      </c>
      <c r="I18" s="122">
        <v>72074</v>
      </c>
      <c r="J18" s="122">
        <v>63552</v>
      </c>
      <c r="K18" s="123">
        <v>80841.460609999995</v>
      </c>
      <c r="L18" s="124">
        <f t="shared" si="3"/>
        <v>7.8521275294305345E-2</v>
      </c>
    </row>
    <row r="19" spans="4:12" x14ac:dyDescent="0.2">
      <c r="D19" s="126" t="s">
        <v>133</v>
      </c>
      <c r="E19" s="127">
        <v>10300</v>
      </c>
      <c r="F19" s="127">
        <v>19416</v>
      </c>
      <c r="G19" s="127">
        <v>19795</v>
      </c>
      <c r="H19" s="127">
        <v>19654</v>
      </c>
      <c r="I19" s="127">
        <v>30340</v>
      </c>
      <c r="J19" s="127">
        <v>29532</v>
      </c>
      <c r="K19" s="128">
        <v>30715.512859999999</v>
      </c>
      <c r="L19" s="129">
        <f t="shared" si="3"/>
        <v>2.9833964192224113E-2</v>
      </c>
    </row>
    <row r="20" spans="4:12" x14ac:dyDescent="0.2">
      <c r="D20" s="121" t="s">
        <v>134</v>
      </c>
      <c r="E20" s="122">
        <v>43669</v>
      </c>
      <c r="F20" s="122">
        <v>57457</v>
      </c>
      <c r="G20" s="122">
        <v>65319</v>
      </c>
      <c r="H20" s="122">
        <v>78726</v>
      </c>
      <c r="I20" s="122">
        <v>48812</v>
      </c>
      <c r="J20" s="122">
        <v>53970</v>
      </c>
      <c r="K20" s="123">
        <v>56235.090670000005</v>
      </c>
      <c r="L20" s="124">
        <f t="shared" si="3"/>
        <v>5.4621118945407596E-2</v>
      </c>
    </row>
    <row r="21" spans="4:12" ht="13.5" thickBot="1" x14ac:dyDescent="0.25">
      <c r="D21" s="121" t="s">
        <v>135</v>
      </c>
      <c r="E21" s="122">
        <v>67458</v>
      </c>
      <c r="F21" s="122">
        <v>66670</v>
      </c>
      <c r="G21" s="122">
        <v>65947.506580000001</v>
      </c>
      <c r="H21" s="122">
        <v>65457</v>
      </c>
      <c r="I21" s="122">
        <v>64676</v>
      </c>
      <c r="J21" s="122">
        <v>58523</v>
      </c>
      <c r="K21" s="123">
        <v>59906</v>
      </c>
      <c r="L21" s="124">
        <f t="shared" si="3"/>
        <v>5.8186671570340104E-2</v>
      </c>
    </row>
    <row r="22" spans="4:12" x14ac:dyDescent="0.2">
      <c r="D22" s="131" t="s">
        <v>136</v>
      </c>
      <c r="E22" s="132">
        <f t="shared" ref="E22:G22" si="6">E5+E18+E20+E21</f>
        <v>853166.09054</v>
      </c>
      <c r="F22" s="132">
        <f t="shared" si="6"/>
        <v>904155.13546999998</v>
      </c>
      <c r="G22" s="132">
        <f t="shared" si="6"/>
        <v>993011.79217000003</v>
      </c>
      <c r="H22" s="132">
        <f>H5+H18+H20+H21</f>
        <v>941425</v>
      </c>
      <c r="I22" s="132">
        <f t="shared" ref="I22:K22" si="7">I5+I18+I20+I21</f>
        <v>804340</v>
      </c>
      <c r="J22" s="132">
        <f t="shared" si="7"/>
        <v>935866</v>
      </c>
      <c r="K22" s="133">
        <f t="shared" si="7"/>
        <v>1029548.4925200001</v>
      </c>
      <c r="L22" s="134">
        <f>L5+L18+L20+L21</f>
        <v>0.99999999999999989</v>
      </c>
    </row>
    <row r="23" spans="4:12" ht="13.5" thickBot="1" x14ac:dyDescent="0.25">
      <c r="D23" s="135" t="s">
        <v>137</v>
      </c>
      <c r="E23" s="122">
        <v>166776</v>
      </c>
      <c r="F23" s="122">
        <v>144937</v>
      </c>
      <c r="G23" s="122">
        <v>162500</v>
      </c>
      <c r="H23" s="122">
        <v>115788</v>
      </c>
      <c r="I23" s="122">
        <v>51661</v>
      </c>
      <c r="J23" s="122">
        <v>41746</v>
      </c>
      <c r="K23" s="136">
        <v>33160</v>
      </c>
      <c r="L23" s="137" t="s">
        <v>7</v>
      </c>
    </row>
    <row r="24" spans="4:12" ht="13.5" thickBot="1" x14ac:dyDescent="0.25">
      <c r="D24" s="138" t="s">
        <v>1</v>
      </c>
      <c r="E24" s="139">
        <f t="shared" ref="E24:H24" si="8">E22+E23</f>
        <v>1019942.09054</v>
      </c>
      <c r="F24" s="139">
        <f t="shared" si="8"/>
        <v>1049092.1354700001</v>
      </c>
      <c r="G24" s="139">
        <f t="shared" si="8"/>
        <v>1155511.79217</v>
      </c>
      <c r="H24" s="139">
        <f t="shared" si="8"/>
        <v>1057213</v>
      </c>
      <c r="I24" s="139">
        <f>I22+I23</f>
        <v>856001</v>
      </c>
      <c r="J24" s="139">
        <f>J22+J23</f>
        <v>977612</v>
      </c>
      <c r="K24" s="140">
        <f>K22+K23</f>
        <v>1062708.4925200001</v>
      </c>
      <c r="L24" s="141" t="s">
        <v>7</v>
      </c>
    </row>
    <row r="25" spans="4:12" ht="9" customHeight="1" x14ac:dyDescent="0.2">
      <c r="D25" s="33"/>
      <c r="E25" s="63"/>
      <c r="F25" s="63"/>
      <c r="G25" s="63"/>
      <c r="H25" s="63"/>
      <c r="I25" s="63"/>
      <c r="J25" s="63"/>
      <c r="K25" s="122"/>
    </row>
    <row r="26" spans="4:12" x14ac:dyDescent="0.2">
      <c r="D26" s="19"/>
      <c r="E26" s="19"/>
      <c r="F26" s="19"/>
      <c r="G26" s="19"/>
      <c r="H26" s="19"/>
      <c r="I26" s="19"/>
      <c r="J26" s="19"/>
      <c r="K26" s="27"/>
      <c r="L26" s="27" t="s">
        <v>46</v>
      </c>
    </row>
    <row r="29" spans="4:12" ht="13.5" thickBot="1" x14ac:dyDescent="0.25">
      <c r="D29" s="142" t="s">
        <v>122</v>
      </c>
      <c r="E29" s="120" t="s">
        <v>6</v>
      </c>
      <c r="F29" s="120" t="s">
        <v>3</v>
      </c>
      <c r="G29" s="120" t="s">
        <v>4</v>
      </c>
      <c r="H29" s="120" t="s">
        <v>14</v>
      </c>
      <c r="I29" s="120" t="s">
        <v>16</v>
      </c>
      <c r="J29" s="120" t="s">
        <v>20</v>
      </c>
      <c r="K29" s="172" t="s">
        <v>219</v>
      </c>
      <c r="L29" s="173"/>
    </row>
    <row r="30" spans="4:12" x14ac:dyDescent="0.2">
      <c r="D30" s="143" t="s">
        <v>8</v>
      </c>
      <c r="E30" s="127">
        <v>1754.3277499999999</v>
      </c>
      <c r="F30" s="127">
        <v>1787.1552300000001</v>
      </c>
      <c r="G30" s="127">
        <v>3072.0408299999999</v>
      </c>
      <c r="H30" s="127">
        <v>6342</v>
      </c>
      <c r="I30" s="127">
        <v>13304</v>
      </c>
      <c r="J30" s="127">
        <v>55512</v>
      </c>
      <c r="K30" s="128">
        <v>36379.30805</v>
      </c>
      <c r="L30" s="129">
        <f>K30/$K$36</f>
        <v>4.3695407472251022E-2</v>
      </c>
    </row>
    <row r="31" spans="4:12" x14ac:dyDescent="0.2">
      <c r="D31" s="143" t="s">
        <v>9</v>
      </c>
      <c r="E31" s="127">
        <v>11947.257000000001</v>
      </c>
      <c r="F31" s="127">
        <v>3784.2071800000003</v>
      </c>
      <c r="G31" s="127">
        <v>7381.8541700000005</v>
      </c>
      <c r="H31" s="127">
        <v>10093</v>
      </c>
      <c r="I31" s="127">
        <v>11264</v>
      </c>
      <c r="J31" s="127">
        <v>55624</v>
      </c>
      <c r="K31" s="128">
        <v>91174.670360000004</v>
      </c>
      <c r="L31" s="129">
        <f t="shared" ref="L31:L35" si="9">K31/$K$36</f>
        <v>0.10951044937558585</v>
      </c>
    </row>
    <row r="32" spans="4:12" x14ac:dyDescent="0.2">
      <c r="D32" s="143" t="s">
        <v>10</v>
      </c>
      <c r="E32" s="127">
        <v>317688.88505000004</v>
      </c>
      <c r="F32" s="127">
        <v>301027.18516999995</v>
      </c>
      <c r="G32" s="127">
        <v>353119.78262999991</v>
      </c>
      <c r="H32" s="127">
        <v>296736</v>
      </c>
      <c r="I32" s="127">
        <v>271885</v>
      </c>
      <c r="J32" s="127">
        <v>324000</v>
      </c>
      <c r="K32" s="128">
        <v>390234.46988999989</v>
      </c>
      <c r="L32" s="129">
        <f t="shared" si="9"/>
        <v>0.46871298783709048</v>
      </c>
    </row>
    <row r="33" spans="4:12" x14ac:dyDescent="0.2">
      <c r="D33" s="143" t="s">
        <v>11</v>
      </c>
      <c r="E33" s="127">
        <v>259911.57834000001</v>
      </c>
      <c r="F33" s="127">
        <v>354378.54846999998</v>
      </c>
      <c r="G33" s="127">
        <v>380743.04191000003</v>
      </c>
      <c r="H33" s="127">
        <v>363123</v>
      </c>
      <c r="I33" s="127">
        <v>301197</v>
      </c>
      <c r="J33" s="127">
        <v>305885</v>
      </c>
      <c r="K33" s="128">
        <v>308853.59375</v>
      </c>
      <c r="L33" s="129">
        <f t="shared" si="9"/>
        <v>0.37096592408044254</v>
      </c>
    </row>
    <row r="34" spans="4:12" x14ac:dyDescent="0.2">
      <c r="D34" s="143" t="s">
        <v>138</v>
      </c>
      <c r="E34" s="127">
        <v>88362</v>
      </c>
      <c r="F34" s="127">
        <v>21373.307949999999</v>
      </c>
      <c r="G34" s="127">
        <v>26532.45349</v>
      </c>
      <c r="H34" s="127">
        <v>27990</v>
      </c>
      <c r="I34" s="127">
        <v>10359</v>
      </c>
      <c r="J34" s="127">
        <v>12740</v>
      </c>
      <c r="K34" s="128">
        <v>5923.8991900000001</v>
      </c>
      <c r="L34" s="129">
        <f t="shared" si="9"/>
        <v>7.1152312346300329E-3</v>
      </c>
    </row>
    <row r="35" spans="4:12" ht="13.5" thickBot="1" x14ac:dyDescent="0.25">
      <c r="D35" s="144" t="s">
        <v>139</v>
      </c>
      <c r="E35" s="127">
        <v>17281</v>
      </c>
      <c r="F35" s="127">
        <v>38446.88670000001</v>
      </c>
      <c r="G35" s="127">
        <v>30360</v>
      </c>
      <c r="H35" s="127">
        <v>17721</v>
      </c>
      <c r="I35" s="127">
        <v>10769</v>
      </c>
      <c r="J35" s="127">
        <v>6060</v>
      </c>
      <c r="K35" s="128">
        <v>0</v>
      </c>
      <c r="L35" s="129">
        <f t="shared" si="9"/>
        <v>0</v>
      </c>
    </row>
    <row r="36" spans="4:12" ht="13.5" thickBot="1" x14ac:dyDescent="0.25">
      <c r="D36" s="138" t="s">
        <v>1</v>
      </c>
      <c r="E36" s="139">
        <f>SUM(E30:E35)</f>
        <v>696945.04814000009</v>
      </c>
      <c r="F36" s="139">
        <f t="shared" ref="F36:H36" si="10">SUM(F30:F35)</f>
        <v>720797.29070000001</v>
      </c>
      <c r="G36" s="139">
        <f t="shared" si="10"/>
        <v>801209.17302999995</v>
      </c>
      <c r="H36" s="139">
        <f t="shared" si="10"/>
        <v>722005</v>
      </c>
      <c r="I36" s="139">
        <f>SUM(I30:I35)</f>
        <v>618778</v>
      </c>
      <c r="J36" s="139">
        <f>SUM(J30:J35)</f>
        <v>759821</v>
      </c>
      <c r="K36" s="145">
        <f>SUM(K30:K35)</f>
        <v>832565.94123999996</v>
      </c>
      <c r="L36" s="141">
        <f>SUM(L30:L35)</f>
        <v>0.99999999999999989</v>
      </c>
    </row>
    <row r="37" spans="4:12" ht="9" customHeight="1" x14ac:dyDescent="0.2">
      <c r="D37" s="33"/>
      <c r="E37" s="63"/>
      <c r="F37" s="63"/>
      <c r="G37" s="63"/>
      <c r="H37" s="63"/>
      <c r="I37" s="63"/>
      <c r="J37" s="63"/>
      <c r="K37" s="122"/>
    </row>
    <row r="38" spans="4:12" x14ac:dyDescent="0.2">
      <c r="K38" s="27"/>
      <c r="L38" s="27" t="s">
        <v>46</v>
      </c>
    </row>
    <row r="41" spans="4:12" ht="13.5" thickBot="1" x14ac:dyDescent="0.25">
      <c r="D41" s="142" t="s">
        <v>132</v>
      </c>
      <c r="E41" s="120" t="s">
        <v>6</v>
      </c>
      <c r="F41" s="120" t="s">
        <v>3</v>
      </c>
      <c r="G41" s="120" t="s">
        <v>4</v>
      </c>
      <c r="H41" s="120" t="s">
        <v>14</v>
      </c>
      <c r="I41" s="120" t="s">
        <v>16</v>
      </c>
      <c r="J41" s="120" t="s">
        <v>20</v>
      </c>
      <c r="K41" s="172" t="s">
        <v>219</v>
      </c>
      <c r="L41" s="173"/>
    </row>
    <row r="42" spans="4:12" x14ac:dyDescent="0.2">
      <c r="D42" s="143" t="s">
        <v>140</v>
      </c>
      <c r="E42" s="127">
        <v>10300</v>
      </c>
      <c r="F42" s="127">
        <v>32761.487000000001</v>
      </c>
      <c r="G42" s="127">
        <v>20803</v>
      </c>
      <c r="H42" s="127">
        <v>43352</v>
      </c>
      <c r="I42" s="127">
        <v>46527</v>
      </c>
      <c r="J42" s="127">
        <v>45073</v>
      </c>
      <c r="K42" s="128">
        <v>47238.571680000001</v>
      </c>
      <c r="L42" s="129">
        <f>K42/$K$53</f>
        <v>0.58433594993899252</v>
      </c>
    </row>
    <row r="43" spans="4:12" x14ac:dyDescent="0.2">
      <c r="D43" s="146" t="s">
        <v>133</v>
      </c>
      <c r="E43" s="127">
        <v>10300</v>
      </c>
      <c r="F43" s="127">
        <v>19416.487000000001</v>
      </c>
      <c r="G43" s="127">
        <v>19795</v>
      </c>
      <c r="H43" s="127">
        <v>19654</v>
      </c>
      <c r="I43" s="127">
        <v>30340</v>
      </c>
      <c r="J43" s="127">
        <v>29532</v>
      </c>
      <c r="K43" s="128">
        <v>30715.512859999999</v>
      </c>
      <c r="L43" s="129">
        <f t="shared" ref="L43:L52" si="11">K43/$K$53</f>
        <v>0.37994752480017069</v>
      </c>
    </row>
    <row r="44" spans="4:12" x14ac:dyDescent="0.2">
      <c r="D44" s="143" t="s">
        <v>141</v>
      </c>
      <c r="E44" s="127">
        <v>9142</v>
      </c>
      <c r="F44" s="127">
        <v>5850.9550600000002</v>
      </c>
      <c r="G44" s="127">
        <v>18320</v>
      </c>
      <c r="H44" s="127">
        <v>5778</v>
      </c>
      <c r="I44" s="127">
        <v>5355</v>
      </c>
      <c r="J44" s="127">
        <v>5001</v>
      </c>
      <c r="K44" s="128">
        <v>5140.9618700000001</v>
      </c>
      <c r="L44" s="129">
        <f t="shared" si="11"/>
        <v>6.3593134404155829E-2</v>
      </c>
    </row>
    <row r="45" spans="4:12" x14ac:dyDescent="0.2">
      <c r="D45" s="143" t="s">
        <v>142</v>
      </c>
      <c r="E45" s="127">
        <v>5385</v>
      </c>
      <c r="F45" s="127">
        <v>5567.7613636297901</v>
      </c>
      <c r="G45" s="127">
        <v>5304</v>
      </c>
      <c r="H45" s="127">
        <v>5461</v>
      </c>
      <c r="I45" s="127">
        <v>3350</v>
      </c>
      <c r="J45" s="127">
        <v>2560</v>
      </c>
      <c r="K45" s="128">
        <v>7620.3575400000009</v>
      </c>
      <c r="L45" s="129">
        <f t="shared" si="11"/>
        <v>9.4262986869603521E-2</v>
      </c>
    </row>
    <row r="46" spans="4:12" x14ac:dyDescent="0.2">
      <c r="D46" s="143" t="s">
        <v>12</v>
      </c>
      <c r="E46" s="127">
        <v>4490</v>
      </c>
      <c r="F46" s="127">
        <v>4964.6156432375501</v>
      </c>
      <c r="G46" s="127">
        <v>6155</v>
      </c>
      <c r="H46" s="127">
        <v>10515</v>
      </c>
      <c r="I46" s="127">
        <v>6466</v>
      </c>
      <c r="J46" s="127">
        <v>2592</v>
      </c>
      <c r="K46" s="128">
        <v>4370.0772800000004</v>
      </c>
      <c r="L46" s="129">
        <f t="shared" si="11"/>
        <v>5.4057376586531224E-2</v>
      </c>
    </row>
    <row r="47" spans="4:12" x14ac:dyDescent="0.2">
      <c r="D47" s="143" t="s">
        <v>143</v>
      </c>
      <c r="E47" s="127">
        <v>1336</v>
      </c>
      <c r="F47" s="127">
        <v>3889.5391</v>
      </c>
      <c r="G47" s="127">
        <v>1302</v>
      </c>
      <c r="H47" s="127">
        <v>1410</v>
      </c>
      <c r="I47" s="127">
        <v>2716</v>
      </c>
      <c r="J47" s="127">
        <v>1638</v>
      </c>
      <c r="K47" s="128">
        <v>2454.4791099999998</v>
      </c>
      <c r="L47" s="129">
        <f t="shared" si="11"/>
        <v>3.0361637351420924E-2</v>
      </c>
    </row>
    <row r="48" spans="4:12" x14ac:dyDescent="0.2">
      <c r="D48" s="143" t="s">
        <v>144</v>
      </c>
      <c r="E48" s="127">
        <v>4544</v>
      </c>
      <c r="F48" s="127">
        <v>3702.924</v>
      </c>
      <c r="G48" s="127">
        <v>3394</v>
      </c>
      <c r="H48" s="130">
        <v>0</v>
      </c>
      <c r="I48" s="130">
        <v>0</v>
      </c>
      <c r="J48" s="130">
        <v>0</v>
      </c>
      <c r="K48" s="128">
        <v>0</v>
      </c>
      <c r="L48" s="129">
        <f t="shared" si="11"/>
        <v>0</v>
      </c>
    </row>
    <row r="49" spans="4:12" x14ac:dyDescent="0.2">
      <c r="D49" s="143" t="s">
        <v>145</v>
      </c>
      <c r="E49" s="127">
        <v>3986</v>
      </c>
      <c r="F49" s="127">
        <v>1169.0634</v>
      </c>
      <c r="G49" s="130">
        <v>0</v>
      </c>
      <c r="H49" s="130">
        <v>1454</v>
      </c>
      <c r="I49" s="130">
        <v>1833</v>
      </c>
      <c r="J49" s="130">
        <v>2936</v>
      </c>
      <c r="K49" s="128">
        <v>5336.8089099999988</v>
      </c>
      <c r="L49" s="129">
        <f t="shared" si="11"/>
        <v>6.601574080589831E-2</v>
      </c>
    </row>
    <row r="50" spans="4:12" x14ac:dyDescent="0.2">
      <c r="D50" s="143" t="s">
        <v>146</v>
      </c>
      <c r="E50" s="127">
        <v>4202</v>
      </c>
      <c r="F50" s="127">
        <v>1159.7223603899999</v>
      </c>
      <c r="G50" s="127">
        <v>3612</v>
      </c>
      <c r="H50" s="127">
        <v>5293</v>
      </c>
      <c r="I50" s="127">
        <v>3084</v>
      </c>
      <c r="J50" s="127">
        <v>2108</v>
      </c>
      <c r="K50" s="128">
        <v>6156.0624700000008</v>
      </c>
      <c r="L50" s="129">
        <f t="shared" si="11"/>
        <v>7.6149817476683521E-2</v>
      </c>
    </row>
    <row r="51" spans="4:12" x14ac:dyDescent="0.2">
      <c r="D51" s="143" t="s">
        <v>147</v>
      </c>
      <c r="E51" s="127">
        <v>1709</v>
      </c>
      <c r="F51" s="127">
        <v>164.73599999999999</v>
      </c>
      <c r="G51" s="127">
        <v>1137</v>
      </c>
      <c r="H51" s="127">
        <v>1333</v>
      </c>
      <c r="I51" s="127">
        <v>2223</v>
      </c>
      <c r="J51" s="127">
        <v>1229</v>
      </c>
      <c r="K51" s="128">
        <v>1682.1315</v>
      </c>
      <c r="L51" s="129">
        <f t="shared" si="11"/>
        <v>2.0807782136879425E-2</v>
      </c>
    </row>
    <row r="52" spans="4:12" ht="13.5" thickBot="1" x14ac:dyDescent="0.25">
      <c r="D52" s="144" t="s">
        <v>148</v>
      </c>
      <c r="E52" s="130">
        <v>0</v>
      </c>
      <c r="F52" s="130">
        <v>0</v>
      </c>
      <c r="G52" s="127">
        <v>509</v>
      </c>
      <c r="H52" s="127">
        <v>641</v>
      </c>
      <c r="I52" s="127">
        <v>520</v>
      </c>
      <c r="J52" s="127">
        <v>415</v>
      </c>
      <c r="K52" s="128">
        <v>842.01025000000004</v>
      </c>
      <c r="L52" s="129">
        <f t="shared" si="11"/>
        <v>1.0415574429834637E-2</v>
      </c>
    </row>
    <row r="53" spans="4:12" ht="13.5" thickBot="1" x14ac:dyDescent="0.25">
      <c r="D53" s="138" t="s">
        <v>1</v>
      </c>
      <c r="E53" s="139">
        <f t="shared" ref="E53" si="12">SUM(E42,E44:E52)</f>
        <v>45094</v>
      </c>
      <c r="F53" s="139">
        <f>SUM(F42,F44:F52)</f>
        <v>59230.803927257337</v>
      </c>
      <c r="G53" s="139">
        <f t="shared" ref="G53:H53" si="13">SUM(G42,G44:G52)</f>
        <v>60536</v>
      </c>
      <c r="H53" s="139">
        <f t="shared" si="13"/>
        <v>75237</v>
      </c>
      <c r="I53" s="139">
        <f t="shared" ref="I53:L53" si="14">SUM(I42,I44:I52)</f>
        <v>72074</v>
      </c>
      <c r="J53" s="139">
        <f t="shared" si="14"/>
        <v>63552</v>
      </c>
      <c r="K53" s="145">
        <f t="shared" si="14"/>
        <v>80841.460610000009</v>
      </c>
      <c r="L53" s="141">
        <f t="shared" si="14"/>
        <v>0.99999999999999989</v>
      </c>
    </row>
    <row r="54" spans="4:12" ht="9" customHeight="1" x14ac:dyDescent="0.2">
      <c r="D54" s="33"/>
      <c r="E54" s="63"/>
      <c r="F54" s="63"/>
      <c r="G54" s="63"/>
      <c r="H54" s="63"/>
      <c r="I54" s="63"/>
      <c r="J54" s="63"/>
      <c r="K54" s="122"/>
    </row>
    <row r="55" spans="4:12" x14ac:dyDescent="0.2">
      <c r="K55" s="27"/>
      <c r="L55" s="27" t="s">
        <v>46</v>
      </c>
    </row>
  </sheetData>
  <mergeCells count="3">
    <mergeCell ref="K4:L4"/>
    <mergeCell ref="K29:L29"/>
    <mergeCell ref="K41:L41"/>
  </mergeCells>
  <hyperlinks>
    <hyperlink ref="B2" location="'Financial Supplement&gt;&gt;&gt;'!A1" display="ÍNDICE" xr:uid="{BA1D343A-E76E-4B23-BB7C-76E8DE033FAB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K36:L41 L5:L22 L30 L31 L32 L33 L34 L35 K48:L48 L42 L43 L44 L45 L46 L47 K53:L53 L49 L50 L51 L5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8.42578125" style="73" bestFit="1" customWidth="1"/>
    <col min="5" max="11" width="13.42578125" style="73" customWidth="1"/>
    <col min="12" max="16384" width="11.42578125" style="73"/>
  </cols>
  <sheetData>
    <row r="1" spans="2:11" ht="16.5" customHeight="1" x14ac:dyDescent="0.2"/>
    <row r="2" spans="2:11" ht="18.75" customHeight="1" thickBot="1" x14ac:dyDescent="0.25">
      <c r="B2" s="11" t="s">
        <v>32</v>
      </c>
      <c r="D2" s="14" t="s">
        <v>45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47"/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6" t="s">
        <v>219</v>
      </c>
    </row>
    <row r="5" spans="2:11" x14ac:dyDescent="0.2">
      <c r="D5" s="148" t="s">
        <v>149</v>
      </c>
      <c r="E5" s="149">
        <v>167878</v>
      </c>
      <c r="F5" s="149">
        <v>161007</v>
      </c>
      <c r="G5" s="149">
        <v>161004</v>
      </c>
      <c r="H5" s="149">
        <v>171657</v>
      </c>
      <c r="I5" s="149">
        <v>172651</v>
      </c>
      <c r="J5" s="149">
        <v>192387</v>
      </c>
      <c r="K5" s="41">
        <v>201667.41793297874</v>
      </c>
    </row>
    <row r="6" spans="2:11" x14ac:dyDescent="0.2">
      <c r="D6" s="148" t="s">
        <v>150</v>
      </c>
      <c r="E6" s="149">
        <v>94357</v>
      </c>
      <c r="F6" s="149">
        <v>104548</v>
      </c>
      <c r="G6" s="149">
        <v>113510</v>
      </c>
      <c r="H6" s="149">
        <v>132271</v>
      </c>
      <c r="I6" s="149">
        <v>91899</v>
      </c>
      <c r="J6" s="149">
        <v>91493</v>
      </c>
      <c r="K6" s="41">
        <v>107501.53318120369</v>
      </c>
    </row>
    <row r="7" spans="2:11" x14ac:dyDescent="0.2">
      <c r="D7" s="148" t="s">
        <v>151</v>
      </c>
      <c r="E7" s="149">
        <v>15833</v>
      </c>
      <c r="F7" s="149">
        <v>15886</v>
      </c>
      <c r="G7" s="149">
        <v>15291</v>
      </c>
      <c r="H7" s="149">
        <v>13086</v>
      </c>
      <c r="I7" s="149">
        <v>7027</v>
      </c>
      <c r="J7" s="149">
        <v>6076</v>
      </c>
      <c r="K7" s="41">
        <v>5703.698287536894</v>
      </c>
    </row>
    <row r="8" spans="2:11" x14ac:dyDescent="0.2">
      <c r="D8" s="148" t="s">
        <v>152</v>
      </c>
      <c r="E8" s="149">
        <v>1436</v>
      </c>
      <c r="F8" s="149">
        <v>2233</v>
      </c>
      <c r="G8" s="149">
        <v>2778</v>
      </c>
      <c r="H8" s="149">
        <v>3134</v>
      </c>
      <c r="I8" s="149">
        <v>3142</v>
      </c>
      <c r="J8" s="149">
        <v>3499</v>
      </c>
      <c r="K8" s="41">
        <v>3863.6734921580592</v>
      </c>
    </row>
    <row r="9" spans="2:11" x14ac:dyDescent="0.2">
      <c r="D9" s="148" t="s">
        <v>153</v>
      </c>
      <c r="E9" s="150">
        <v>-58725</v>
      </c>
      <c r="F9" s="150">
        <v>-62201</v>
      </c>
      <c r="G9" s="150">
        <v>-65218</v>
      </c>
      <c r="H9" s="150">
        <f>H10-SUM(H5:H8)</f>
        <v>-71482</v>
      </c>
      <c r="I9" s="150">
        <f>I10-SUM(I5:I8)</f>
        <v>-55772</v>
      </c>
      <c r="J9" s="150">
        <f>J10-SUM(J5:J8)</f>
        <v>-57125</v>
      </c>
      <c r="K9" s="41">
        <f>K10-SUM(K5:K8)</f>
        <v>-64199.316081526165</v>
      </c>
    </row>
    <row r="10" spans="2:11" x14ac:dyDescent="0.2">
      <c r="D10" s="151" t="s">
        <v>154</v>
      </c>
      <c r="E10" s="152">
        <v>220779</v>
      </c>
      <c r="F10" s="152">
        <v>221473</v>
      </c>
      <c r="G10" s="152">
        <v>227365</v>
      </c>
      <c r="H10" s="152">
        <v>248666</v>
      </c>
      <c r="I10" s="152">
        <v>218947</v>
      </c>
      <c r="J10" s="152">
        <v>236330</v>
      </c>
      <c r="K10" s="38">
        <v>254537.00681235123</v>
      </c>
    </row>
    <row r="11" spans="2:11" x14ac:dyDescent="0.2">
      <c r="D11" s="148" t="s">
        <v>155</v>
      </c>
      <c r="E11" s="149">
        <v>24796</v>
      </c>
      <c r="F11" s="149">
        <v>26092</v>
      </c>
      <c r="G11" s="149">
        <v>26935</v>
      </c>
      <c r="H11" s="149">
        <v>27166</v>
      </c>
      <c r="I11" s="149">
        <v>27795</v>
      </c>
      <c r="J11" s="149">
        <v>28812</v>
      </c>
      <c r="K11" s="41">
        <v>29419.361615699996</v>
      </c>
    </row>
    <row r="12" spans="2:11" ht="13.5" thickBot="1" x14ac:dyDescent="0.25">
      <c r="D12" s="148" t="s">
        <v>156</v>
      </c>
      <c r="E12" s="150">
        <v>-61394</v>
      </c>
      <c r="F12" s="150">
        <v>-61891</v>
      </c>
      <c r="G12" s="150">
        <v>-63575</v>
      </c>
      <c r="H12" s="150">
        <v>-68958</v>
      </c>
      <c r="I12" s="150">
        <v>-61686</v>
      </c>
      <c r="J12" s="150">
        <v>-66285</v>
      </c>
      <c r="K12" s="41">
        <v>-70989.09210701281</v>
      </c>
    </row>
    <row r="13" spans="2:11" ht="13.5" thickBot="1" x14ac:dyDescent="0.25">
      <c r="D13" s="138" t="s">
        <v>157</v>
      </c>
      <c r="E13" s="43">
        <v>184181</v>
      </c>
      <c r="F13" s="43">
        <v>185674</v>
      </c>
      <c r="G13" s="43">
        <v>190725</v>
      </c>
      <c r="H13" s="43">
        <v>206874</v>
      </c>
      <c r="I13" s="43">
        <v>185057</v>
      </c>
      <c r="J13" s="43">
        <v>198857</v>
      </c>
      <c r="K13" s="44">
        <v>212967.27632103843</v>
      </c>
    </row>
    <row r="14" spans="2:11" ht="9" customHeight="1" x14ac:dyDescent="0.2">
      <c r="D14" s="33"/>
      <c r="E14" s="63"/>
      <c r="F14" s="63"/>
      <c r="G14" s="63"/>
      <c r="H14" s="63"/>
      <c r="I14" s="63"/>
      <c r="J14" s="63"/>
      <c r="K14" s="148"/>
    </row>
    <row r="15" spans="2:11" x14ac:dyDescent="0.2">
      <c r="D15" s="148"/>
      <c r="E15" s="148"/>
      <c r="F15" s="148"/>
      <c r="G15" s="148"/>
      <c r="J15" s="27"/>
      <c r="K15" s="27" t="s">
        <v>46</v>
      </c>
    </row>
    <row r="16" spans="2:11" x14ac:dyDescent="0.2">
      <c r="D16" s="148"/>
      <c r="E16" s="148"/>
      <c r="F16" s="148"/>
      <c r="G16" s="148"/>
      <c r="H16" s="148"/>
      <c r="I16" s="148"/>
      <c r="J16" s="148"/>
      <c r="K16" s="148"/>
    </row>
    <row r="17" spans="4:11" x14ac:dyDescent="0.2">
      <c r="D17" s="148"/>
      <c r="E17" s="148"/>
      <c r="F17" s="148"/>
      <c r="G17" s="148"/>
      <c r="H17" s="148"/>
      <c r="I17" s="148"/>
      <c r="J17" s="148"/>
      <c r="K17" s="148"/>
    </row>
    <row r="18" spans="4:11" ht="13.5" thickBot="1" x14ac:dyDescent="0.25">
      <c r="D18" s="147"/>
      <c r="E18" s="35" t="s">
        <v>6</v>
      </c>
      <c r="F18" s="35" t="s">
        <v>3</v>
      </c>
      <c r="G18" s="35" t="s">
        <v>4</v>
      </c>
      <c r="H18" s="35" t="s">
        <v>14</v>
      </c>
      <c r="I18" s="35" t="s">
        <v>16</v>
      </c>
      <c r="J18" s="35" t="s">
        <v>20</v>
      </c>
      <c r="K18" s="36" t="s">
        <v>219</v>
      </c>
    </row>
    <row r="19" spans="4:11" x14ac:dyDescent="0.2">
      <c r="D19" s="151" t="s">
        <v>158</v>
      </c>
      <c r="E19" s="152">
        <v>82881</v>
      </c>
      <c r="F19" s="152">
        <v>83553</v>
      </c>
      <c r="G19" s="152">
        <v>85826</v>
      </c>
      <c r="H19" s="152">
        <v>93093</v>
      </c>
      <c r="I19" s="152">
        <v>83275</v>
      </c>
      <c r="J19" s="152">
        <v>89485</v>
      </c>
      <c r="K19" s="38">
        <v>95835</v>
      </c>
    </row>
    <row r="20" spans="4:11" x14ac:dyDescent="0.2">
      <c r="D20" s="151" t="s">
        <v>157</v>
      </c>
      <c r="E20" s="152">
        <f t="shared" ref="E20" si="0">+E13</f>
        <v>184181</v>
      </c>
      <c r="F20" s="152">
        <f t="shared" ref="F20:K20" si="1">+F13</f>
        <v>185674</v>
      </c>
      <c r="G20" s="152">
        <f t="shared" si="1"/>
        <v>190725</v>
      </c>
      <c r="H20" s="152">
        <f t="shared" si="1"/>
        <v>206874</v>
      </c>
      <c r="I20" s="152">
        <f t="shared" si="1"/>
        <v>185057</v>
      </c>
      <c r="J20" s="152">
        <f t="shared" si="1"/>
        <v>198857</v>
      </c>
      <c r="K20" s="38">
        <f t="shared" si="1"/>
        <v>212967.27632103843</v>
      </c>
    </row>
    <row r="21" spans="4:11" x14ac:dyDescent="0.2">
      <c r="D21" s="151"/>
      <c r="E21" s="152"/>
      <c r="F21" s="152"/>
      <c r="G21" s="152"/>
      <c r="H21" s="152"/>
      <c r="I21" s="152"/>
      <c r="J21" s="152"/>
      <c r="K21" s="38"/>
    </row>
    <row r="22" spans="4:11" x14ac:dyDescent="0.2">
      <c r="D22" s="151" t="s">
        <v>159</v>
      </c>
      <c r="E22" s="152">
        <v>385270.20790162636</v>
      </c>
      <c r="F22" s="152">
        <v>391162.2635219369</v>
      </c>
      <c r="G22" s="152">
        <f>526011.113113886-120000</f>
        <v>406011.11311388598</v>
      </c>
      <c r="H22" s="152">
        <v>384082.53742492298</v>
      </c>
      <c r="I22" s="152">
        <v>347530.79890801519</v>
      </c>
      <c r="J22" s="152">
        <v>358001.8760363349</v>
      </c>
      <c r="K22" s="38">
        <v>403610.86898775148</v>
      </c>
    </row>
    <row r="23" spans="4:11" x14ac:dyDescent="0.2">
      <c r="D23" s="153" t="s">
        <v>160</v>
      </c>
      <c r="E23" s="154">
        <v>1</v>
      </c>
      <c r="F23" s="154">
        <v>1</v>
      </c>
      <c r="G23" s="154">
        <v>1</v>
      </c>
      <c r="H23" s="154">
        <v>1</v>
      </c>
      <c r="I23" s="154">
        <v>1</v>
      </c>
      <c r="J23" s="154">
        <v>1</v>
      </c>
      <c r="K23" s="155">
        <v>1</v>
      </c>
    </row>
    <row r="24" spans="4:11" ht="13.5" thickBot="1" x14ac:dyDescent="0.25">
      <c r="D24" s="151"/>
      <c r="E24" s="152"/>
      <c r="F24" s="152"/>
      <c r="G24" s="152"/>
      <c r="H24" s="152"/>
      <c r="I24" s="152"/>
      <c r="J24" s="152"/>
      <c r="K24" s="38"/>
    </row>
    <row r="25" spans="4:11" x14ac:dyDescent="0.2">
      <c r="D25" s="131" t="s">
        <v>161</v>
      </c>
      <c r="E25" s="156">
        <f t="shared" ref="E25" si="2">+E22/E19</f>
        <v>4.6484744139383736</v>
      </c>
      <c r="F25" s="156">
        <f t="shared" ref="F25:K25" si="3">+F22/F19</f>
        <v>4.6816064476671917</v>
      </c>
      <c r="G25" s="156">
        <f t="shared" si="3"/>
        <v>4.7306307309426741</v>
      </c>
      <c r="H25" s="156">
        <f t="shared" si="3"/>
        <v>4.1257939632939422</v>
      </c>
      <c r="I25" s="156">
        <f t="shared" si="3"/>
        <v>4.1732908905195458</v>
      </c>
      <c r="J25" s="156">
        <f t="shared" si="3"/>
        <v>4.0006914682498174</v>
      </c>
      <c r="K25" s="157">
        <f t="shared" si="3"/>
        <v>4.2115184325951009</v>
      </c>
    </row>
    <row r="26" spans="4:11" ht="13.5" thickBot="1" x14ac:dyDescent="0.25">
      <c r="D26" s="135" t="s">
        <v>162</v>
      </c>
      <c r="E26" s="158">
        <f t="shared" ref="E26:K26" si="4">+E22/E13</f>
        <v>2.0918021288929172</v>
      </c>
      <c r="F26" s="158">
        <f t="shared" si="4"/>
        <v>2.1067153372143483</v>
      </c>
      <c r="G26" s="158">
        <f t="shared" si="4"/>
        <v>2.1287776280712332</v>
      </c>
      <c r="H26" s="158">
        <f t="shared" si="4"/>
        <v>1.8566013004288744</v>
      </c>
      <c r="I26" s="158">
        <f t="shared" si="4"/>
        <v>1.8779662423362271</v>
      </c>
      <c r="J26" s="158">
        <f t="shared" si="4"/>
        <v>1.8002980837301925</v>
      </c>
      <c r="K26" s="159">
        <f t="shared" si="4"/>
        <v>1.8951778693893166</v>
      </c>
    </row>
    <row r="27" spans="4:11" ht="9" customHeight="1" x14ac:dyDescent="0.2">
      <c r="D27" s="33"/>
      <c r="E27" s="63"/>
      <c r="F27" s="63"/>
      <c r="G27" s="63"/>
      <c r="H27" s="63"/>
      <c r="I27" s="63"/>
      <c r="J27" s="63"/>
      <c r="K27" s="160"/>
    </row>
    <row r="28" spans="4:11" x14ac:dyDescent="0.2">
      <c r="D28" s="148"/>
      <c r="E28" s="148"/>
      <c r="F28" s="148"/>
      <c r="G28" s="148"/>
      <c r="J28" s="27"/>
      <c r="K28" s="27" t="s">
        <v>46</v>
      </c>
    </row>
    <row r="30" spans="4:11" x14ac:dyDescent="0.2">
      <c r="K30" s="161"/>
    </row>
  </sheetData>
  <hyperlinks>
    <hyperlink ref="B2" location="'Financial Supplement&gt;&gt;&gt;'!A1" display="ÍNDICE" xr:uid="{50D7A0DE-CD4E-4A82-A7EC-54EAF549205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32</v>
      </c>
      <c r="D2" s="14" t="s">
        <v>41</v>
      </c>
      <c r="E2" s="15"/>
      <c r="F2" s="15"/>
      <c r="G2" s="15"/>
    </row>
    <row r="4" spans="2:7" ht="15.75" customHeight="1" thickBot="1" x14ac:dyDescent="0.3">
      <c r="D4" s="16" t="s">
        <v>72</v>
      </c>
      <c r="E4" s="17" t="s">
        <v>16</v>
      </c>
      <c r="F4" s="17" t="s">
        <v>20</v>
      </c>
      <c r="G4" s="18" t="s">
        <v>219</v>
      </c>
    </row>
    <row r="5" spans="2:7" ht="15.75" customHeight="1" x14ac:dyDescent="0.25">
      <c r="D5" s="19" t="s">
        <v>73</v>
      </c>
      <c r="E5" s="20">
        <v>51661</v>
      </c>
      <c r="F5" s="20">
        <v>41746</v>
      </c>
      <c r="G5" s="21">
        <v>33160</v>
      </c>
    </row>
    <row r="6" spans="2:7" ht="15.75" customHeight="1" x14ac:dyDescent="0.25">
      <c r="D6" s="19" t="s">
        <v>74</v>
      </c>
      <c r="E6" s="20">
        <f>E7</f>
        <v>48818</v>
      </c>
      <c r="F6" s="20">
        <f>F7</f>
        <v>53998</v>
      </c>
      <c r="G6" s="21">
        <f>G7</f>
        <v>56263</v>
      </c>
    </row>
    <row r="7" spans="2:7" ht="15.75" customHeight="1" x14ac:dyDescent="0.25">
      <c r="D7" s="22" t="s">
        <v>75</v>
      </c>
      <c r="E7" s="20">
        <v>48818</v>
      </c>
      <c r="F7" s="20">
        <v>53998</v>
      </c>
      <c r="G7" s="21">
        <v>56263</v>
      </c>
    </row>
    <row r="8" spans="2:7" ht="15.75" customHeight="1" x14ac:dyDescent="0.25">
      <c r="D8" s="19" t="s">
        <v>76</v>
      </c>
      <c r="E8" s="20">
        <f>SUM(E9,E10)</f>
        <v>690846</v>
      </c>
      <c r="F8" s="20">
        <f>SUM(F9,F10)</f>
        <v>823345</v>
      </c>
      <c r="G8" s="21">
        <f>SUM(G9,G10)</f>
        <v>913380</v>
      </c>
    </row>
    <row r="9" spans="2:7" ht="15.75" customHeight="1" x14ac:dyDescent="0.25">
      <c r="D9" s="22" t="s">
        <v>75</v>
      </c>
      <c r="E9" s="20">
        <v>72068</v>
      </c>
      <c r="F9" s="20">
        <v>63524</v>
      </c>
      <c r="G9" s="21">
        <v>80814</v>
      </c>
    </row>
    <row r="10" spans="2:7" ht="15.75" customHeight="1" x14ac:dyDescent="0.25">
      <c r="D10" s="22" t="s">
        <v>77</v>
      </c>
      <c r="E10" s="20">
        <v>618778</v>
      </c>
      <c r="F10" s="20">
        <v>759821</v>
      </c>
      <c r="G10" s="21">
        <v>832566</v>
      </c>
    </row>
    <row r="11" spans="2:7" ht="15.75" customHeight="1" x14ac:dyDescent="0.25">
      <c r="D11" s="19" t="s">
        <v>78</v>
      </c>
      <c r="E11" s="20">
        <v>22373</v>
      </c>
      <c r="F11" s="20">
        <v>15456</v>
      </c>
      <c r="G11" s="21">
        <v>17305</v>
      </c>
    </row>
    <row r="12" spans="2:7" ht="15.75" customHeight="1" x14ac:dyDescent="0.25">
      <c r="D12" s="19" t="s">
        <v>79</v>
      </c>
      <c r="E12" s="20">
        <v>7808</v>
      </c>
      <c r="F12" s="20">
        <v>5909</v>
      </c>
      <c r="G12" s="21">
        <v>3992</v>
      </c>
    </row>
    <row r="13" spans="2:7" ht="15.75" customHeight="1" x14ac:dyDescent="0.25">
      <c r="D13" s="19" t="s">
        <v>80</v>
      </c>
      <c r="E13" s="20">
        <v>21957</v>
      </c>
      <c r="F13" s="20">
        <v>31939</v>
      </c>
      <c r="G13" s="21">
        <v>31531</v>
      </c>
    </row>
    <row r="14" spans="2:7" ht="15.75" customHeight="1" x14ac:dyDescent="0.25">
      <c r="D14" s="19" t="s">
        <v>81</v>
      </c>
      <c r="E14" s="20">
        <f>SUM(E15,E16)</f>
        <v>110044</v>
      </c>
      <c r="F14" s="20">
        <f>SUM(F15,F16)</f>
        <v>101600</v>
      </c>
      <c r="G14" s="21">
        <f>SUM(G15,G16)</f>
        <v>99308</v>
      </c>
    </row>
    <row r="15" spans="2:7" ht="15.75" customHeight="1" x14ac:dyDescent="0.25">
      <c r="D15" s="22" t="s">
        <v>82</v>
      </c>
      <c r="E15" s="20">
        <v>45368</v>
      </c>
      <c r="F15" s="20">
        <v>43077</v>
      </c>
      <c r="G15" s="21">
        <v>41248</v>
      </c>
    </row>
    <row r="16" spans="2:7" ht="15.75" customHeight="1" x14ac:dyDescent="0.25">
      <c r="D16" s="22" t="s">
        <v>83</v>
      </c>
      <c r="E16" s="20">
        <v>64676</v>
      </c>
      <c r="F16" s="20">
        <v>58523</v>
      </c>
      <c r="G16" s="21">
        <v>58060</v>
      </c>
    </row>
    <row r="17" spans="4:7" ht="15.75" customHeight="1" x14ac:dyDescent="0.25">
      <c r="D17" s="19" t="s">
        <v>84</v>
      </c>
      <c r="E17" s="20">
        <v>14482</v>
      </c>
      <c r="F17" s="20">
        <v>29188</v>
      </c>
      <c r="G17" s="21">
        <v>37106</v>
      </c>
    </row>
    <row r="18" spans="4:7" s="10" customFormat="1" ht="15.75" customHeight="1" thickBot="1" x14ac:dyDescent="0.3">
      <c r="D18" s="23" t="s">
        <v>85</v>
      </c>
      <c r="E18" s="20">
        <v>34437</v>
      </c>
      <c r="F18" s="20">
        <v>22141</v>
      </c>
      <c r="G18" s="24">
        <v>15799</v>
      </c>
    </row>
    <row r="19" spans="4:7" s="10" customFormat="1" ht="15.75" customHeight="1" thickBot="1" x14ac:dyDescent="0.3">
      <c r="D19" s="25" t="s">
        <v>86</v>
      </c>
      <c r="E19" s="30">
        <f>SUM(E5,E6,E8,E11,E12,E13,E14,E17,E18)</f>
        <v>1002426</v>
      </c>
      <c r="F19" s="30">
        <f>SUM(F5,F6,F8,F11,F12,F13,F14,F17,F18)</f>
        <v>1125322</v>
      </c>
      <c r="G19" s="26">
        <f>SUM(G5,G6,G8,G11,G12,G13,G14,G17,G18)</f>
        <v>1207844</v>
      </c>
    </row>
    <row r="20" spans="4:7" ht="6.75" customHeight="1" x14ac:dyDescent="0.25"/>
    <row r="21" spans="4:7" x14ac:dyDescent="0.25">
      <c r="E21" s="27"/>
      <c r="F21" s="27"/>
      <c r="G21" s="27" t="s">
        <v>46</v>
      </c>
    </row>
    <row r="24" spans="4:7" ht="15.75" customHeight="1" thickBot="1" x14ac:dyDescent="0.3">
      <c r="D24" s="16" t="s">
        <v>87</v>
      </c>
      <c r="E24" s="17" t="s">
        <v>16</v>
      </c>
      <c r="F24" s="17" t="s">
        <v>20</v>
      </c>
      <c r="G24" s="18" t="s">
        <v>219</v>
      </c>
    </row>
    <row r="25" spans="4:7" ht="15.75" customHeight="1" x14ac:dyDescent="0.25">
      <c r="D25" s="19" t="s">
        <v>88</v>
      </c>
      <c r="E25" s="20">
        <v>59288</v>
      </c>
      <c r="F25" s="20">
        <v>65313</v>
      </c>
      <c r="G25" s="21">
        <v>71034</v>
      </c>
    </row>
    <row r="26" spans="4:7" ht="15.75" customHeight="1" x14ac:dyDescent="0.25">
      <c r="D26" s="19" t="s">
        <v>79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89</v>
      </c>
      <c r="E27" s="20">
        <f>SUM(E28,E29)</f>
        <v>610281</v>
      </c>
      <c r="F27" s="20">
        <f>SUM(F28,F29)</f>
        <v>715311</v>
      </c>
      <c r="G27" s="21">
        <f>SUM(G28,G29)</f>
        <v>754329</v>
      </c>
    </row>
    <row r="28" spans="4:7" ht="15.75" customHeight="1" x14ac:dyDescent="0.25">
      <c r="D28" s="28" t="s">
        <v>90</v>
      </c>
      <c r="E28" s="20">
        <v>325056</v>
      </c>
      <c r="F28" s="20">
        <v>339352</v>
      </c>
      <c r="G28" s="21">
        <v>354439</v>
      </c>
    </row>
    <row r="29" spans="4:7" ht="15.75" customHeight="1" x14ac:dyDescent="0.25">
      <c r="D29" s="28" t="s">
        <v>91</v>
      </c>
      <c r="E29" s="20">
        <v>285225</v>
      </c>
      <c r="F29" s="20">
        <v>375959</v>
      </c>
      <c r="G29" s="21">
        <v>399890</v>
      </c>
    </row>
    <row r="30" spans="4:7" ht="15.75" customHeight="1" x14ac:dyDescent="0.25">
      <c r="D30" s="19" t="s">
        <v>92</v>
      </c>
      <c r="E30" s="20">
        <v>780</v>
      </c>
      <c r="F30" s="20">
        <v>375</v>
      </c>
      <c r="G30" s="21">
        <v>1694</v>
      </c>
    </row>
    <row r="31" spans="4:7" ht="15.75" customHeight="1" thickBot="1" x14ac:dyDescent="0.3">
      <c r="D31" s="19" t="s">
        <v>93</v>
      </c>
      <c r="E31" s="20">
        <v>31746</v>
      </c>
      <c r="F31" s="20">
        <v>31288</v>
      </c>
      <c r="G31" s="21">
        <v>29020</v>
      </c>
    </row>
    <row r="32" spans="4:7" ht="15.75" customHeight="1" thickBot="1" x14ac:dyDescent="0.3">
      <c r="D32" s="29" t="s">
        <v>94</v>
      </c>
      <c r="E32" s="30">
        <f>SUM(E25,E26,E27,E30,E31)</f>
        <v>702095</v>
      </c>
      <c r="F32" s="30">
        <f>SUM(F25,F26,F27,F30,F31)</f>
        <v>812287</v>
      </c>
      <c r="G32" s="31">
        <f>SUM(G25,G26,G27,G30,G31)</f>
        <v>856077</v>
      </c>
    </row>
    <row r="33" spans="4:7" ht="15.75" customHeight="1" x14ac:dyDescent="0.25">
      <c r="D33" s="32" t="s">
        <v>95</v>
      </c>
      <c r="E33" s="20">
        <v>324243</v>
      </c>
      <c r="F33" s="20">
        <v>330087</v>
      </c>
      <c r="G33" s="21">
        <v>357692</v>
      </c>
    </row>
    <row r="34" spans="4:7" ht="15.75" customHeight="1" x14ac:dyDescent="0.25">
      <c r="D34" s="19" t="s">
        <v>96</v>
      </c>
      <c r="E34" s="20">
        <f>SUM(E35,E36,E37)</f>
        <v>-23912</v>
      </c>
      <c r="F34" s="20">
        <f>SUM(F35,F36,F37)</f>
        <v>-17052</v>
      </c>
      <c r="G34" s="21">
        <f>SUM(G35,G36,G37)</f>
        <v>-5925</v>
      </c>
    </row>
    <row r="35" spans="4:7" ht="15.75" customHeight="1" x14ac:dyDescent="0.25">
      <c r="D35" s="22" t="s">
        <v>76</v>
      </c>
      <c r="E35" s="20">
        <v>-29856</v>
      </c>
      <c r="F35" s="20">
        <v>-18226</v>
      </c>
      <c r="G35" s="21">
        <v>-6096</v>
      </c>
    </row>
    <row r="36" spans="4:7" ht="15.75" customHeight="1" x14ac:dyDescent="0.25">
      <c r="D36" s="22" t="s">
        <v>97</v>
      </c>
      <c r="E36" s="20">
        <v>6241</v>
      </c>
      <c r="F36" s="20">
        <v>1689</v>
      </c>
      <c r="G36" s="21">
        <v>216</v>
      </c>
    </row>
    <row r="37" spans="4:7" ht="15.75" customHeight="1" thickBot="1" x14ac:dyDescent="0.3">
      <c r="D37" s="22" t="s">
        <v>98</v>
      </c>
      <c r="E37" s="20">
        <v>-297</v>
      </c>
      <c r="F37" s="20">
        <v>-515</v>
      </c>
      <c r="G37" s="21">
        <v>-45</v>
      </c>
    </row>
    <row r="38" spans="4:7" s="10" customFormat="1" ht="15.75" customHeight="1" thickBot="1" x14ac:dyDescent="0.3">
      <c r="D38" s="29" t="s">
        <v>99</v>
      </c>
      <c r="E38" s="30">
        <f>SUM(E33,E34)</f>
        <v>300331</v>
      </c>
      <c r="F38" s="30">
        <f>SUM(F33,F34)</f>
        <v>313035</v>
      </c>
      <c r="G38" s="31">
        <f>SUM(G33,G34)</f>
        <v>351767</v>
      </c>
    </row>
    <row r="39" spans="4:7" s="10" customFormat="1" ht="15.75" customHeight="1" thickBot="1" x14ac:dyDescent="0.3">
      <c r="D39" s="29" t="s">
        <v>100</v>
      </c>
      <c r="E39" s="30">
        <f>SUM(E38,E32)</f>
        <v>1002426</v>
      </c>
      <c r="F39" s="30">
        <f>SUM(F38,F32)</f>
        <v>1125322</v>
      </c>
      <c r="G39" s="31">
        <f>SUM(G38,G32)</f>
        <v>1207844</v>
      </c>
    </row>
    <row r="40" spans="4:7" ht="6.75" customHeight="1" x14ac:dyDescent="0.25"/>
    <row r="41" spans="4:7" x14ac:dyDescent="0.25">
      <c r="E41" s="27"/>
      <c r="F41" s="27"/>
      <c r="G41" s="27" t="s">
        <v>46</v>
      </c>
    </row>
  </sheetData>
  <hyperlinks>
    <hyperlink ref="B2" location="'Financial Supplement&gt;&gt;&gt;'!A1" display="ÍNDICE" xr:uid="{27178BCF-2E41-4006-B1D7-7EBF213ACF4F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T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7" width="13.28515625" style="13" hidden="1" customWidth="1" outlineLevel="1"/>
    <col min="8" max="8" width="13.28515625" style="13" customWidth="1" collapsed="1"/>
    <col min="9" max="9" width="13.28515625" style="13" customWidth="1"/>
    <col min="10" max="10" width="13.28515625" style="13" hidden="1" customWidth="1" outlineLevel="1" collapsed="1"/>
    <col min="11" max="11" width="13.28515625" style="13" hidden="1" customWidth="1" outlineLevel="1"/>
    <col min="12" max="12" width="13.28515625" style="13" customWidth="1" collapsed="1"/>
    <col min="13" max="13" width="3" style="13" customWidth="1"/>
    <col min="14" max="16384" width="11.42578125" style="13"/>
  </cols>
  <sheetData>
    <row r="1" spans="2:20" ht="16.5" customHeight="1" x14ac:dyDescent="0.25"/>
    <row r="2" spans="2:20" ht="18.75" customHeight="1" thickBot="1" x14ac:dyDescent="0.3">
      <c r="B2" s="11" t="s">
        <v>32</v>
      </c>
      <c r="D2" s="14" t="s">
        <v>43</v>
      </c>
      <c r="E2" s="14"/>
      <c r="F2" s="14"/>
      <c r="G2" s="14"/>
      <c r="H2" s="14"/>
      <c r="I2" s="14"/>
      <c r="J2" s="14"/>
      <c r="K2" s="14"/>
      <c r="L2" s="14"/>
      <c r="N2" s="14" t="s">
        <v>44</v>
      </c>
      <c r="O2" s="14"/>
      <c r="P2" s="14"/>
      <c r="Q2" s="14"/>
      <c r="R2" s="14"/>
      <c r="S2" s="14"/>
      <c r="T2" s="14"/>
    </row>
    <row r="3" spans="2:20" x14ac:dyDescent="0.25">
      <c r="B3" s="10"/>
      <c r="D3" s="33"/>
      <c r="E3" s="34"/>
      <c r="F3" s="34"/>
      <c r="G3" s="34"/>
      <c r="H3" s="34"/>
      <c r="I3" s="34"/>
      <c r="J3" s="34"/>
      <c r="K3" s="34"/>
      <c r="L3" s="34"/>
    </row>
    <row r="4" spans="2:20" ht="15" thickBot="1" x14ac:dyDescent="0.3">
      <c r="B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215</v>
      </c>
      <c r="L4" s="36" t="s">
        <v>219</v>
      </c>
      <c r="N4" s="35" t="s">
        <v>62</v>
      </c>
      <c r="O4" s="35" t="s">
        <v>63</v>
      </c>
      <c r="P4" s="35" t="s">
        <v>64</v>
      </c>
      <c r="Q4" s="35" t="s">
        <v>65</v>
      </c>
      <c r="R4" s="35" t="s">
        <v>191</v>
      </c>
      <c r="S4" s="35" t="s">
        <v>216</v>
      </c>
      <c r="T4" s="36" t="s">
        <v>220</v>
      </c>
    </row>
    <row r="5" spans="2:20" x14ac:dyDescent="0.25">
      <c r="B5" s="10"/>
      <c r="D5" s="33" t="s">
        <v>54</v>
      </c>
      <c r="E5" s="37">
        <v>946679</v>
      </c>
      <c r="F5" s="37">
        <v>244209</v>
      </c>
      <c r="G5" s="37">
        <v>491947</v>
      </c>
      <c r="H5" s="37">
        <v>731945</v>
      </c>
      <c r="I5" s="37">
        <v>973281</v>
      </c>
      <c r="J5" s="37">
        <v>251419</v>
      </c>
      <c r="K5" s="37">
        <v>503900</v>
      </c>
      <c r="L5" s="38">
        <v>757629.10199999996</v>
      </c>
      <c r="N5" s="37">
        <f>F5</f>
        <v>244209</v>
      </c>
      <c r="O5" s="37">
        <f t="shared" ref="O5:O21" si="0">G5-F5</f>
        <v>247738</v>
      </c>
      <c r="P5" s="37">
        <f t="shared" ref="P5:P21" si="1">H5-G5</f>
        <v>239998</v>
      </c>
      <c r="Q5" s="37">
        <f t="shared" ref="Q5:Q21" si="2">I5-H5</f>
        <v>241336</v>
      </c>
      <c r="R5" s="37">
        <f>J5</f>
        <v>251419</v>
      </c>
      <c r="S5" s="37">
        <f>K5-J5</f>
        <v>252481</v>
      </c>
      <c r="T5" s="38">
        <f>L5-K5</f>
        <v>253729.10199999996</v>
      </c>
    </row>
    <row r="6" spans="2:20" x14ac:dyDescent="0.25">
      <c r="B6" s="10"/>
      <c r="D6" s="33" t="s">
        <v>66</v>
      </c>
      <c r="E6" s="37">
        <v>925444</v>
      </c>
      <c r="F6" s="37">
        <v>234570</v>
      </c>
      <c r="G6" s="37">
        <v>473663</v>
      </c>
      <c r="H6" s="37">
        <v>716227</v>
      </c>
      <c r="I6" s="37">
        <v>960266</v>
      </c>
      <c r="J6" s="37">
        <v>242618</v>
      </c>
      <c r="K6" s="37">
        <v>486607</v>
      </c>
      <c r="L6" s="38">
        <v>736771.60531775502</v>
      </c>
      <c r="N6" s="37">
        <f t="shared" ref="N6" si="3">F6</f>
        <v>234570</v>
      </c>
      <c r="O6" s="37">
        <f t="shared" ref="O6" si="4">G6-F6</f>
        <v>239093</v>
      </c>
      <c r="P6" s="37">
        <f t="shared" ref="P6" si="5">H6-G6</f>
        <v>242564</v>
      </c>
      <c r="Q6" s="37">
        <f t="shared" ref="Q6" si="6">I6-H6</f>
        <v>244039</v>
      </c>
      <c r="R6" s="37">
        <f t="shared" ref="R6:R21" si="7">J6</f>
        <v>242618</v>
      </c>
      <c r="S6" s="37">
        <f t="shared" ref="S6:T21" si="8">K6-J6</f>
        <v>243989</v>
      </c>
      <c r="T6" s="38">
        <f t="shared" si="8"/>
        <v>250164.60531775502</v>
      </c>
    </row>
    <row r="7" spans="2:20" x14ac:dyDescent="0.25">
      <c r="B7" s="10"/>
      <c r="D7" s="33" t="s">
        <v>57</v>
      </c>
      <c r="E7" s="37">
        <v>899579</v>
      </c>
      <c r="F7" s="37">
        <v>228664</v>
      </c>
      <c r="G7" s="37">
        <v>461993</v>
      </c>
      <c r="H7" s="37">
        <v>698654</v>
      </c>
      <c r="I7" s="37">
        <v>936777</v>
      </c>
      <c r="J7" s="37">
        <v>236370</v>
      </c>
      <c r="K7" s="37">
        <v>474519</v>
      </c>
      <c r="L7" s="38">
        <v>718695.53736775497</v>
      </c>
      <c r="N7" s="37">
        <f t="shared" ref="N7:N21" si="9">F7</f>
        <v>228664</v>
      </c>
      <c r="O7" s="37">
        <f t="shared" si="0"/>
        <v>233329</v>
      </c>
      <c r="P7" s="37">
        <f t="shared" si="1"/>
        <v>236661</v>
      </c>
      <c r="Q7" s="37">
        <f t="shared" si="2"/>
        <v>238123</v>
      </c>
      <c r="R7" s="37">
        <f t="shared" si="7"/>
        <v>236370</v>
      </c>
      <c r="S7" s="37">
        <f t="shared" si="8"/>
        <v>238149</v>
      </c>
      <c r="T7" s="38">
        <f t="shared" si="8"/>
        <v>244176.53736775497</v>
      </c>
    </row>
    <row r="8" spans="2:20" x14ac:dyDescent="0.25">
      <c r="B8" s="10"/>
      <c r="D8" s="39" t="s">
        <v>58</v>
      </c>
      <c r="E8" s="40">
        <v>-653859</v>
      </c>
      <c r="F8" s="40">
        <v>-192634</v>
      </c>
      <c r="G8" s="40">
        <v>-396046</v>
      </c>
      <c r="H8" s="40">
        <v>-584215</v>
      </c>
      <c r="I8" s="40">
        <v>-760762</v>
      </c>
      <c r="J8" s="40">
        <v>-177499</v>
      </c>
      <c r="K8" s="40">
        <v>-348119</v>
      </c>
      <c r="L8" s="41">
        <v>-527584.48815628421</v>
      </c>
      <c r="N8" s="40">
        <f t="shared" si="9"/>
        <v>-192634</v>
      </c>
      <c r="O8" s="40">
        <f t="shared" si="0"/>
        <v>-203412</v>
      </c>
      <c r="P8" s="40">
        <f t="shared" si="1"/>
        <v>-188169</v>
      </c>
      <c r="Q8" s="40">
        <f t="shared" si="2"/>
        <v>-176547</v>
      </c>
      <c r="R8" s="40">
        <f t="shared" si="7"/>
        <v>-177499</v>
      </c>
      <c r="S8" s="40">
        <f t="shared" si="8"/>
        <v>-170620</v>
      </c>
      <c r="T8" s="41">
        <f t="shared" si="8"/>
        <v>-179465.48815628421</v>
      </c>
    </row>
    <row r="9" spans="2:20" x14ac:dyDescent="0.25">
      <c r="B9" s="10"/>
      <c r="D9" s="39" t="s">
        <v>59</v>
      </c>
      <c r="E9" s="40">
        <f t="shared" ref="E9:I9" si="10">SUM(E10:E11)</f>
        <v>-208590</v>
      </c>
      <c r="F9" s="40">
        <f t="shared" si="10"/>
        <v>-51657</v>
      </c>
      <c r="G9" s="40">
        <f t="shared" si="10"/>
        <v>-102482</v>
      </c>
      <c r="H9" s="40">
        <f t="shared" si="10"/>
        <v>-156182</v>
      </c>
      <c r="I9" s="40">
        <f t="shared" si="10"/>
        <v>-214240</v>
      </c>
      <c r="J9" s="40">
        <f>SUM(J10:J11)</f>
        <v>-52560</v>
      </c>
      <c r="K9" s="40">
        <f>SUM(K10:K11)</f>
        <v>-104813</v>
      </c>
      <c r="L9" s="41">
        <f>SUM(L10:L11)</f>
        <v>-158258.72943705731</v>
      </c>
      <c r="N9" s="40">
        <f t="shared" si="9"/>
        <v>-51657</v>
      </c>
      <c r="O9" s="40">
        <f t="shared" si="0"/>
        <v>-50825</v>
      </c>
      <c r="P9" s="40">
        <f t="shared" si="1"/>
        <v>-53700</v>
      </c>
      <c r="Q9" s="40">
        <f t="shared" si="2"/>
        <v>-58058</v>
      </c>
      <c r="R9" s="40">
        <f t="shared" si="7"/>
        <v>-52560</v>
      </c>
      <c r="S9" s="40">
        <f t="shared" si="8"/>
        <v>-52253</v>
      </c>
      <c r="T9" s="41">
        <f t="shared" si="8"/>
        <v>-53445.729437057307</v>
      </c>
    </row>
    <row r="10" spans="2:20" x14ac:dyDescent="0.25">
      <c r="B10" s="10"/>
      <c r="D10" s="169" t="s">
        <v>180</v>
      </c>
      <c r="E10" s="40">
        <v>-179823</v>
      </c>
      <c r="F10" s="40">
        <v>-44308</v>
      </c>
      <c r="G10" s="40">
        <v>-87343</v>
      </c>
      <c r="H10" s="40">
        <v>-133388</v>
      </c>
      <c r="I10" s="40">
        <v>-183554</v>
      </c>
      <c r="J10" s="40">
        <v>-45501</v>
      </c>
      <c r="K10" s="40">
        <v>-89593</v>
      </c>
      <c r="L10" s="41">
        <v>-135420.923759981</v>
      </c>
      <c r="N10" s="40">
        <f t="shared" ref="N10:N11" si="11">F10</f>
        <v>-44308</v>
      </c>
      <c r="O10" s="40">
        <f t="shared" ref="O10:O11" si="12">G10-F10</f>
        <v>-43035</v>
      </c>
      <c r="P10" s="40">
        <f t="shared" ref="P10:P11" si="13">H10-G10</f>
        <v>-46045</v>
      </c>
      <c r="Q10" s="40">
        <f t="shared" ref="Q10:Q11" si="14">I10-H10</f>
        <v>-50166</v>
      </c>
      <c r="R10" s="40">
        <f t="shared" ref="R10:R11" si="15">J10</f>
        <v>-45501</v>
      </c>
      <c r="S10" s="40">
        <f t="shared" si="8"/>
        <v>-44092</v>
      </c>
      <c r="T10" s="41">
        <f t="shared" si="8"/>
        <v>-45827.923759981</v>
      </c>
    </row>
    <row r="11" spans="2:20" x14ac:dyDescent="0.25">
      <c r="B11" s="10"/>
      <c r="D11" s="169" t="s">
        <v>217</v>
      </c>
      <c r="E11" s="40">
        <v>-28767</v>
      </c>
      <c r="F11" s="40">
        <v>-7349</v>
      </c>
      <c r="G11" s="40">
        <v>-15139</v>
      </c>
      <c r="H11" s="40">
        <v>-22794</v>
      </c>
      <c r="I11" s="40">
        <v>-30686</v>
      </c>
      <c r="J11" s="40">
        <v>-7059</v>
      </c>
      <c r="K11" s="40">
        <v>-15220</v>
      </c>
      <c r="L11" s="41">
        <v>-22837.805677076314</v>
      </c>
      <c r="N11" s="40">
        <f t="shared" si="11"/>
        <v>-7349</v>
      </c>
      <c r="O11" s="40">
        <f t="shared" si="12"/>
        <v>-7790</v>
      </c>
      <c r="P11" s="40">
        <f t="shared" si="13"/>
        <v>-7655</v>
      </c>
      <c r="Q11" s="40">
        <f t="shared" si="14"/>
        <v>-7892</v>
      </c>
      <c r="R11" s="40">
        <f t="shared" si="15"/>
        <v>-7059</v>
      </c>
      <c r="S11" s="40">
        <f t="shared" si="8"/>
        <v>-8161</v>
      </c>
      <c r="T11" s="41">
        <f t="shared" si="8"/>
        <v>-7617.8056770763142</v>
      </c>
    </row>
    <row r="12" spans="2:20" x14ac:dyDescent="0.25">
      <c r="B12" s="10"/>
      <c r="D12" s="33" t="s">
        <v>56</v>
      </c>
      <c r="E12" s="37">
        <f>SUM(E7:E9)</f>
        <v>37130</v>
      </c>
      <c r="F12" s="37">
        <f t="shared" ref="F12:L12" si="16">SUM(F7:F9)</f>
        <v>-15627</v>
      </c>
      <c r="G12" s="37">
        <f t="shared" si="16"/>
        <v>-36535</v>
      </c>
      <c r="H12" s="37">
        <f t="shared" si="16"/>
        <v>-41743</v>
      </c>
      <c r="I12" s="37">
        <f t="shared" si="16"/>
        <v>-38225</v>
      </c>
      <c r="J12" s="37">
        <f t="shared" si="16"/>
        <v>6311</v>
      </c>
      <c r="K12" s="37">
        <f t="shared" si="16"/>
        <v>21587</v>
      </c>
      <c r="L12" s="38">
        <f t="shared" si="16"/>
        <v>32852.319774413452</v>
      </c>
      <c r="N12" s="37">
        <f t="shared" si="9"/>
        <v>-15627</v>
      </c>
      <c r="O12" s="37">
        <f t="shared" si="0"/>
        <v>-20908</v>
      </c>
      <c r="P12" s="37">
        <f t="shared" si="1"/>
        <v>-5208</v>
      </c>
      <c r="Q12" s="37">
        <f t="shared" si="2"/>
        <v>3518</v>
      </c>
      <c r="R12" s="37">
        <f t="shared" si="7"/>
        <v>6311</v>
      </c>
      <c r="S12" s="37">
        <f t="shared" si="8"/>
        <v>15276</v>
      </c>
      <c r="T12" s="38">
        <f t="shared" si="8"/>
        <v>11265.319774413452</v>
      </c>
    </row>
    <row r="13" spans="2:20" x14ac:dyDescent="0.25">
      <c r="B13" s="10"/>
      <c r="D13" s="39" t="s">
        <v>103</v>
      </c>
      <c r="E13" s="40">
        <v>68906</v>
      </c>
      <c r="F13" s="40">
        <v>14031</v>
      </c>
      <c r="G13" s="40">
        <v>23425</v>
      </c>
      <c r="H13" s="40">
        <v>33923</v>
      </c>
      <c r="I13" s="40">
        <v>50249</v>
      </c>
      <c r="J13" s="40">
        <v>12313</v>
      </c>
      <c r="K13" s="40">
        <v>24997</v>
      </c>
      <c r="L13" s="41">
        <v>38181.659050000002</v>
      </c>
      <c r="N13" s="40">
        <f t="shared" si="9"/>
        <v>14031</v>
      </c>
      <c r="O13" s="40">
        <f t="shared" si="0"/>
        <v>9394</v>
      </c>
      <c r="P13" s="40">
        <f t="shared" si="1"/>
        <v>10498</v>
      </c>
      <c r="Q13" s="40">
        <f t="shared" si="2"/>
        <v>16326</v>
      </c>
      <c r="R13" s="40">
        <f t="shared" si="7"/>
        <v>12313</v>
      </c>
      <c r="S13" s="40">
        <f t="shared" si="8"/>
        <v>12684</v>
      </c>
      <c r="T13" s="41">
        <f t="shared" si="8"/>
        <v>13184.659050000002</v>
      </c>
    </row>
    <row r="14" spans="2:20" x14ac:dyDescent="0.25">
      <c r="B14" s="10"/>
      <c r="D14" s="39" t="s">
        <v>104</v>
      </c>
      <c r="E14" s="40">
        <v>-27061</v>
      </c>
      <c r="F14" s="40">
        <v>-5645</v>
      </c>
      <c r="G14" s="40">
        <v>-6641</v>
      </c>
      <c r="H14" s="40">
        <v>-8563</v>
      </c>
      <c r="I14" s="40">
        <v>-16257</v>
      </c>
      <c r="J14" s="40">
        <v>-3087</v>
      </c>
      <c r="K14" s="40">
        <v>-8396</v>
      </c>
      <c r="L14" s="41">
        <v>-11276.845520861865</v>
      </c>
      <c r="N14" s="40">
        <f t="shared" si="9"/>
        <v>-5645</v>
      </c>
      <c r="O14" s="40">
        <f t="shared" si="0"/>
        <v>-996</v>
      </c>
      <c r="P14" s="40">
        <f t="shared" si="1"/>
        <v>-1922</v>
      </c>
      <c r="Q14" s="40">
        <f t="shared" si="2"/>
        <v>-7694</v>
      </c>
      <c r="R14" s="40">
        <f t="shared" si="7"/>
        <v>-3087</v>
      </c>
      <c r="S14" s="40">
        <f t="shared" si="8"/>
        <v>-5309</v>
      </c>
      <c r="T14" s="41">
        <f t="shared" si="8"/>
        <v>-2880.8455208618652</v>
      </c>
    </row>
    <row r="15" spans="2:20" x14ac:dyDescent="0.25">
      <c r="B15" s="10"/>
      <c r="D15" s="33" t="s">
        <v>67</v>
      </c>
      <c r="E15" s="37">
        <f>SUM(E13:E14)</f>
        <v>41845</v>
      </c>
      <c r="F15" s="37">
        <f t="shared" ref="F15:L15" si="17">SUM(F13:F14)</f>
        <v>8386</v>
      </c>
      <c r="G15" s="37">
        <f t="shared" si="17"/>
        <v>16784</v>
      </c>
      <c r="H15" s="37">
        <f t="shared" si="17"/>
        <v>25360</v>
      </c>
      <c r="I15" s="37">
        <f t="shared" si="17"/>
        <v>33992</v>
      </c>
      <c r="J15" s="37">
        <f t="shared" si="17"/>
        <v>9226</v>
      </c>
      <c r="K15" s="37">
        <f t="shared" si="17"/>
        <v>16601</v>
      </c>
      <c r="L15" s="38">
        <f t="shared" si="17"/>
        <v>26904.813529138137</v>
      </c>
      <c r="N15" s="37">
        <f t="shared" si="9"/>
        <v>8386</v>
      </c>
      <c r="O15" s="37">
        <f t="shared" si="0"/>
        <v>8398</v>
      </c>
      <c r="P15" s="37">
        <f t="shared" si="1"/>
        <v>8576</v>
      </c>
      <c r="Q15" s="37">
        <f t="shared" si="2"/>
        <v>8632</v>
      </c>
      <c r="R15" s="37">
        <f t="shared" si="7"/>
        <v>9226</v>
      </c>
      <c r="S15" s="37">
        <f t="shared" si="8"/>
        <v>7375</v>
      </c>
      <c r="T15" s="38">
        <f t="shared" si="8"/>
        <v>10303.813529138137</v>
      </c>
    </row>
    <row r="16" spans="2:20" x14ac:dyDescent="0.25">
      <c r="B16" s="10"/>
      <c r="D16" s="39" t="s">
        <v>68</v>
      </c>
      <c r="E16" s="40">
        <v>425</v>
      </c>
      <c r="F16" s="40">
        <v>-425</v>
      </c>
      <c r="G16" s="40">
        <v>-1278</v>
      </c>
      <c r="H16" s="40">
        <v>-2734</v>
      </c>
      <c r="I16" s="40">
        <v>-4646</v>
      </c>
      <c r="J16" s="40">
        <v>-2182</v>
      </c>
      <c r="K16" s="40">
        <v>-4313</v>
      </c>
      <c r="L16" s="41">
        <v>-6526.7466493054526</v>
      </c>
      <c r="N16" s="40">
        <f t="shared" si="9"/>
        <v>-425</v>
      </c>
      <c r="O16" s="40">
        <f t="shared" si="0"/>
        <v>-853</v>
      </c>
      <c r="P16" s="40">
        <f t="shared" si="1"/>
        <v>-1456</v>
      </c>
      <c r="Q16" s="40">
        <f t="shared" si="2"/>
        <v>-1912</v>
      </c>
      <c r="R16" s="40">
        <f t="shared" si="7"/>
        <v>-2182</v>
      </c>
      <c r="S16" s="40">
        <f t="shared" si="8"/>
        <v>-2131</v>
      </c>
      <c r="T16" s="41">
        <f t="shared" si="8"/>
        <v>-2213.7466493054526</v>
      </c>
    </row>
    <row r="17" spans="2:20" x14ac:dyDescent="0.25">
      <c r="B17" s="10"/>
      <c r="D17" s="39" t="s">
        <v>69</v>
      </c>
      <c r="E17" s="40">
        <f>SUM(E12,E15,E16)</f>
        <v>79400</v>
      </c>
      <c r="F17" s="40">
        <f t="shared" ref="F17:L17" si="18">SUM(F12,F15,F16)</f>
        <v>-7666</v>
      </c>
      <c r="G17" s="40">
        <f t="shared" si="18"/>
        <v>-21029</v>
      </c>
      <c r="H17" s="40">
        <f t="shared" si="18"/>
        <v>-19117</v>
      </c>
      <c r="I17" s="40">
        <f t="shared" si="18"/>
        <v>-8879</v>
      </c>
      <c r="J17" s="40">
        <f t="shared" si="18"/>
        <v>13355</v>
      </c>
      <c r="K17" s="40">
        <f t="shared" si="18"/>
        <v>33875</v>
      </c>
      <c r="L17" s="41">
        <f t="shared" si="18"/>
        <v>53230.386654246133</v>
      </c>
      <c r="N17" s="40">
        <f t="shared" ref="N17" si="19">F17</f>
        <v>-7666</v>
      </c>
      <c r="O17" s="40">
        <f t="shared" si="0"/>
        <v>-13363</v>
      </c>
      <c r="P17" s="40">
        <f t="shared" si="1"/>
        <v>1912</v>
      </c>
      <c r="Q17" s="40">
        <f t="shared" si="2"/>
        <v>10238</v>
      </c>
      <c r="R17" s="40">
        <f t="shared" si="7"/>
        <v>13355</v>
      </c>
      <c r="S17" s="40">
        <f t="shared" si="8"/>
        <v>20520</v>
      </c>
      <c r="T17" s="41">
        <f t="shared" si="8"/>
        <v>19355.386654246133</v>
      </c>
    </row>
    <row r="18" spans="2:20" x14ac:dyDescent="0.25">
      <c r="B18" s="10"/>
      <c r="D18" s="39" t="s">
        <v>70</v>
      </c>
      <c r="E18" s="40">
        <v>4160</v>
      </c>
      <c r="F18" s="40">
        <v>608</v>
      </c>
      <c r="G18" s="40">
        <v>1145</v>
      </c>
      <c r="H18" s="40">
        <v>2073</v>
      </c>
      <c r="I18" s="40">
        <v>2332</v>
      </c>
      <c r="J18" s="40">
        <v>335</v>
      </c>
      <c r="K18" s="40">
        <v>410</v>
      </c>
      <c r="L18" s="41">
        <v>646.18651561858724</v>
      </c>
      <c r="N18" s="40">
        <f t="shared" si="9"/>
        <v>608</v>
      </c>
      <c r="O18" s="40">
        <f t="shared" si="0"/>
        <v>537</v>
      </c>
      <c r="P18" s="40">
        <f t="shared" si="1"/>
        <v>928</v>
      </c>
      <c r="Q18" s="40">
        <f t="shared" si="2"/>
        <v>259</v>
      </c>
      <c r="R18" s="40">
        <f t="shared" si="7"/>
        <v>335</v>
      </c>
      <c r="S18" s="40">
        <f t="shared" si="8"/>
        <v>75</v>
      </c>
      <c r="T18" s="41">
        <f t="shared" si="8"/>
        <v>236.18651561858724</v>
      </c>
    </row>
    <row r="19" spans="2:20" x14ac:dyDescent="0.25">
      <c r="B19" s="10"/>
      <c r="D19" s="33" t="s">
        <v>107</v>
      </c>
      <c r="E19" s="37">
        <f>SUM(E17:E18)</f>
        <v>83560</v>
      </c>
      <c r="F19" s="37">
        <f t="shared" ref="F19:L19" si="20">SUM(F17:F18)</f>
        <v>-7058</v>
      </c>
      <c r="G19" s="37">
        <f t="shared" si="20"/>
        <v>-19884</v>
      </c>
      <c r="H19" s="37">
        <f t="shared" si="20"/>
        <v>-17044</v>
      </c>
      <c r="I19" s="37">
        <f t="shared" si="20"/>
        <v>-6547</v>
      </c>
      <c r="J19" s="37">
        <f t="shared" si="20"/>
        <v>13690</v>
      </c>
      <c r="K19" s="37">
        <f t="shared" si="20"/>
        <v>34285</v>
      </c>
      <c r="L19" s="38">
        <f t="shared" si="20"/>
        <v>53876.573169864721</v>
      </c>
      <c r="N19" s="37">
        <f t="shared" si="9"/>
        <v>-7058</v>
      </c>
      <c r="O19" s="37">
        <f t="shared" si="0"/>
        <v>-12826</v>
      </c>
      <c r="P19" s="37">
        <f t="shared" si="1"/>
        <v>2840</v>
      </c>
      <c r="Q19" s="37">
        <f t="shared" si="2"/>
        <v>10497</v>
      </c>
      <c r="R19" s="37">
        <f t="shared" si="7"/>
        <v>13690</v>
      </c>
      <c r="S19" s="37">
        <f t="shared" si="8"/>
        <v>20595</v>
      </c>
      <c r="T19" s="38">
        <f t="shared" si="8"/>
        <v>19591.573169864721</v>
      </c>
    </row>
    <row r="20" spans="2:20" ht="15" thickBot="1" x14ac:dyDescent="0.3">
      <c r="B20" s="10"/>
      <c r="D20" s="39" t="s">
        <v>71</v>
      </c>
      <c r="E20" s="40">
        <v>-20436</v>
      </c>
      <c r="F20" s="40">
        <v>1767</v>
      </c>
      <c r="G20" s="40">
        <v>4790</v>
      </c>
      <c r="H20" s="40">
        <v>4555</v>
      </c>
      <c r="I20" s="40">
        <v>2157</v>
      </c>
      <c r="J20" s="40">
        <v>-3580</v>
      </c>
      <c r="K20" s="40">
        <v>-8867</v>
      </c>
      <c r="L20" s="41">
        <v>-13129.998519966126</v>
      </c>
      <c r="N20" s="40">
        <f t="shared" si="9"/>
        <v>1767</v>
      </c>
      <c r="O20" s="40">
        <f t="shared" si="0"/>
        <v>3023</v>
      </c>
      <c r="P20" s="40">
        <f t="shared" si="1"/>
        <v>-235</v>
      </c>
      <c r="Q20" s="40">
        <f t="shared" si="2"/>
        <v>-2398</v>
      </c>
      <c r="R20" s="40">
        <f t="shared" si="7"/>
        <v>-3580</v>
      </c>
      <c r="S20" s="40">
        <f t="shared" si="8"/>
        <v>-5287</v>
      </c>
      <c r="T20" s="41">
        <f t="shared" si="8"/>
        <v>-4262.998519966126</v>
      </c>
    </row>
    <row r="21" spans="2:20" ht="15" thickBot="1" x14ac:dyDescent="0.3">
      <c r="B21" s="10"/>
      <c r="D21" s="42" t="s">
        <v>108</v>
      </c>
      <c r="E21" s="43">
        <f>SUM(E19:E20)</f>
        <v>63124</v>
      </c>
      <c r="F21" s="43">
        <f t="shared" ref="F21:L21" si="21">SUM(F19:F20)</f>
        <v>-5291</v>
      </c>
      <c r="G21" s="43">
        <f t="shared" si="21"/>
        <v>-15094</v>
      </c>
      <c r="H21" s="43">
        <f t="shared" si="21"/>
        <v>-12489</v>
      </c>
      <c r="I21" s="43">
        <f t="shared" si="21"/>
        <v>-4390</v>
      </c>
      <c r="J21" s="43">
        <f t="shared" si="21"/>
        <v>10110</v>
      </c>
      <c r="K21" s="43">
        <f t="shared" si="21"/>
        <v>25418</v>
      </c>
      <c r="L21" s="44">
        <f t="shared" si="21"/>
        <v>40746.574649898597</v>
      </c>
      <c r="N21" s="43">
        <f t="shared" si="9"/>
        <v>-5291</v>
      </c>
      <c r="O21" s="43">
        <f t="shared" si="0"/>
        <v>-9803</v>
      </c>
      <c r="P21" s="43">
        <f t="shared" si="1"/>
        <v>2605</v>
      </c>
      <c r="Q21" s="43">
        <f t="shared" si="2"/>
        <v>8099</v>
      </c>
      <c r="R21" s="43">
        <f t="shared" si="7"/>
        <v>10110</v>
      </c>
      <c r="S21" s="43">
        <f t="shared" si="8"/>
        <v>15308</v>
      </c>
      <c r="T21" s="44">
        <f t="shared" si="8"/>
        <v>15328.574649898597</v>
      </c>
    </row>
    <row r="22" spans="2:20" s="10" customFormat="1" ht="9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2:20" s="10" customFormat="1" x14ac:dyDescent="0.25">
      <c r="F23" s="27"/>
      <c r="G23" s="27"/>
      <c r="I23" s="27"/>
      <c r="J23" s="27"/>
      <c r="K23" s="27"/>
      <c r="L23" s="27" t="s">
        <v>46</v>
      </c>
      <c r="M23" s="27"/>
      <c r="N23" s="27"/>
      <c r="O23" s="27"/>
      <c r="Q23" s="27"/>
      <c r="R23" s="27"/>
      <c r="S23" s="27"/>
      <c r="T23" s="27" t="s">
        <v>46</v>
      </c>
    </row>
    <row r="24" spans="2:20" x14ac:dyDescent="0.25">
      <c r="D24" s="46"/>
    </row>
    <row r="26" spans="2:20" ht="15" thickBot="1" x14ac:dyDescent="0.3">
      <c r="D26" s="23"/>
      <c r="E26" s="47" t="s">
        <v>16</v>
      </c>
      <c r="F26" s="47" t="s">
        <v>17</v>
      </c>
      <c r="G26" s="47" t="s">
        <v>18</v>
      </c>
      <c r="H26" s="47" t="s">
        <v>19</v>
      </c>
      <c r="I26" s="47" t="s">
        <v>20</v>
      </c>
      <c r="J26" s="47" t="s">
        <v>190</v>
      </c>
      <c r="K26" s="35" t="s">
        <v>215</v>
      </c>
      <c r="L26" s="36" t="s">
        <v>219</v>
      </c>
      <c r="N26" s="35" t="s">
        <v>62</v>
      </c>
      <c r="O26" s="35" t="s">
        <v>63</v>
      </c>
      <c r="P26" s="35" t="s">
        <v>64</v>
      </c>
      <c r="Q26" s="35" t="s">
        <v>65</v>
      </c>
      <c r="R26" s="35" t="s">
        <v>191</v>
      </c>
      <c r="S26" s="35" t="s">
        <v>216</v>
      </c>
      <c r="T26" s="36" t="s">
        <v>220</v>
      </c>
    </row>
    <row r="27" spans="2:20" x14ac:dyDescent="0.25">
      <c r="D27" s="48" t="s">
        <v>60</v>
      </c>
      <c r="E27" s="49">
        <f>-E8/E7</f>
        <v>0.72685000427977975</v>
      </c>
      <c r="F27" s="49">
        <f t="shared" ref="F27:L27" si="22">-F8/F7</f>
        <v>0.84243256481125139</v>
      </c>
      <c r="G27" s="49">
        <f t="shared" si="22"/>
        <v>0.85725541296080243</v>
      </c>
      <c r="H27" s="49">
        <f t="shared" si="22"/>
        <v>0.83620075173118602</v>
      </c>
      <c r="I27" s="49">
        <f t="shared" si="22"/>
        <v>0.81210576263080758</v>
      </c>
      <c r="J27" s="49">
        <f t="shared" si="22"/>
        <v>0.750937090155265</v>
      </c>
      <c r="K27" s="49">
        <f t="shared" si="22"/>
        <v>0.73362499710232887</v>
      </c>
      <c r="L27" s="50">
        <f t="shared" si="22"/>
        <v>0.73408621693767429</v>
      </c>
      <c r="N27" s="49">
        <f t="shared" ref="N27:T27" si="23">-N8/N7</f>
        <v>0.84243256481125139</v>
      </c>
      <c r="O27" s="49">
        <f t="shared" si="23"/>
        <v>0.87178190452108395</v>
      </c>
      <c r="P27" s="49">
        <f t="shared" si="23"/>
        <v>0.79509931927947575</v>
      </c>
      <c r="Q27" s="49">
        <f t="shared" si="23"/>
        <v>0.74141095148305702</v>
      </c>
      <c r="R27" s="49">
        <f t="shared" si="23"/>
        <v>0.750937090155265</v>
      </c>
      <c r="S27" s="49">
        <f t="shared" si="23"/>
        <v>0.71644222734506546</v>
      </c>
      <c r="T27" s="50">
        <f t="shared" si="23"/>
        <v>0.73498252572068679</v>
      </c>
    </row>
    <row r="28" spans="2:20" ht="15" thickBot="1" x14ac:dyDescent="0.3">
      <c r="D28" s="48" t="s">
        <v>61</v>
      </c>
      <c r="E28" s="49">
        <f>-E9/E7</f>
        <v>0.23187513270096344</v>
      </c>
      <c r="F28" s="49">
        <f t="shared" ref="F28:L28" si="24">-F9/F7</f>
        <v>0.2259078823076654</v>
      </c>
      <c r="G28" s="49">
        <f t="shared" si="24"/>
        <v>0.2218258718205687</v>
      </c>
      <c r="H28" s="49">
        <f t="shared" si="24"/>
        <v>0.22354699178706483</v>
      </c>
      <c r="I28" s="49">
        <f t="shared" si="24"/>
        <v>0.22869903936582558</v>
      </c>
      <c r="J28" s="49">
        <f t="shared" si="24"/>
        <v>0.2223632440665059</v>
      </c>
      <c r="K28" s="49">
        <f t="shared" si="24"/>
        <v>0.22088262008475951</v>
      </c>
      <c r="L28" s="50">
        <f t="shared" si="24"/>
        <v>0.2202027440113026</v>
      </c>
      <c r="N28" s="49">
        <f t="shared" ref="N28:T28" si="25">-N9/N7</f>
        <v>0.2259078823076654</v>
      </c>
      <c r="O28" s="49">
        <f t="shared" si="25"/>
        <v>0.21782547390165818</v>
      </c>
      <c r="P28" s="49">
        <f t="shared" si="25"/>
        <v>0.22690684143141457</v>
      </c>
      <c r="Q28" s="49">
        <f t="shared" si="25"/>
        <v>0.24381517115104379</v>
      </c>
      <c r="R28" s="49">
        <f t="shared" si="25"/>
        <v>0.2223632440665059</v>
      </c>
      <c r="S28" s="49">
        <f t="shared" si="25"/>
        <v>0.2194130565318351</v>
      </c>
      <c r="T28" s="50">
        <f t="shared" si="25"/>
        <v>0.21888151094780472</v>
      </c>
    </row>
    <row r="29" spans="2:20" ht="15" thickBot="1" x14ac:dyDescent="0.3">
      <c r="D29" s="42" t="s">
        <v>55</v>
      </c>
      <c r="E29" s="51">
        <f>-(E8+E9)/E7</f>
        <v>0.95872513698074324</v>
      </c>
      <c r="F29" s="51">
        <f t="shared" ref="F29:L29" si="26">-(F8+F9)/F7</f>
        <v>1.0683404471189168</v>
      </c>
      <c r="G29" s="51">
        <f t="shared" si="26"/>
        <v>1.0790812847813711</v>
      </c>
      <c r="H29" s="51">
        <f t="shared" si="26"/>
        <v>1.0597477435182507</v>
      </c>
      <c r="I29" s="51">
        <f t="shared" si="26"/>
        <v>1.0408048019966332</v>
      </c>
      <c r="J29" s="51">
        <f t="shared" si="26"/>
        <v>0.97330033422177098</v>
      </c>
      <c r="K29" s="51">
        <f t="shared" si="26"/>
        <v>0.95450761718708843</v>
      </c>
      <c r="L29" s="52">
        <f t="shared" si="26"/>
        <v>0.95428896094897686</v>
      </c>
      <c r="N29" s="51">
        <f t="shared" ref="N29:T29" si="27">-(N8+N9)/N7</f>
        <v>1.0683404471189168</v>
      </c>
      <c r="O29" s="51">
        <f t="shared" si="27"/>
        <v>1.0896073784227422</v>
      </c>
      <c r="P29" s="51">
        <f t="shared" si="27"/>
        <v>1.0220061607108903</v>
      </c>
      <c r="Q29" s="51">
        <f t="shared" si="27"/>
        <v>0.98522612263410081</v>
      </c>
      <c r="R29" s="51">
        <f t="shared" si="27"/>
        <v>0.97330033422177098</v>
      </c>
      <c r="S29" s="51">
        <f t="shared" si="27"/>
        <v>0.93585528387690065</v>
      </c>
      <c r="T29" s="52">
        <f t="shared" si="27"/>
        <v>0.95386403666849151</v>
      </c>
    </row>
  </sheetData>
  <hyperlinks>
    <hyperlink ref="B2" location="'Financial Supplement&gt;&gt;&gt;'!A1" display="ÍNDICE" xr:uid="{135E285B-D378-4622-8225-2649E28C14D9}"/>
  </hyperlinks>
  <pageMargins left="0.7" right="0.7" top="0.75" bottom="0.75" header="0.3" footer="0.3"/>
  <pageSetup paperSize="9" scale="63" orientation="landscape" r:id="rId1"/>
  <ignoredErrors>
    <ignoredError sqref="E12:I12 E20:I20 E15:I19 E13:G14 I13:I14" formulaRange="1"/>
    <ignoredError sqref="R12:R21 R5:R9 R10:R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R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customWidth="1" collapsed="1"/>
    <col min="9" max="9" width="11.28515625" style="10" customWidth="1"/>
    <col min="10" max="11" width="11.28515625" style="10" hidden="1" customWidth="1" outlineLevel="1"/>
    <col min="12" max="12" width="11.28515625" style="10" customWidth="1" collapsed="1"/>
    <col min="13" max="13" width="11.42578125" style="10"/>
    <col min="14" max="19" width="11.42578125" style="10" customWidth="1"/>
    <col min="20" max="16384" width="11.42578125" style="10"/>
  </cols>
  <sheetData>
    <row r="1" spans="2:18" ht="16.5" customHeight="1" x14ac:dyDescent="0.25"/>
    <row r="2" spans="2:18" ht="18.75" customHeight="1" thickBot="1" x14ac:dyDescent="0.3">
      <c r="B2" s="11" t="s">
        <v>32</v>
      </c>
      <c r="D2" s="14" t="s">
        <v>48</v>
      </c>
      <c r="E2" s="14"/>
      <c r="F2" s="14"/>
      <c r="G2" s="14"/>
      <c r="H2" s="14"/>
      <c r="I2" s="14"/>
      <c r="J2" s="14"/>
      <c r="K2" s="14"/>
      <c r="L2" s="14"/>
      <c r="M2" s="14"/>
    </row>
    <row r="3" spans="2:18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</row>
    <row r="4" spans="2:18" x14ac:dyDescent="0.25">
      <c r="B4" s="53"/>
      <c r="D4" s="54"/>
      <c r="E4" s="171" t="s">
        <v>53</v>
      </c>
      <c r="F4" s="171"/>
      <c r="G4" s="171"/>
      <c r="H4" s="171"/>
      <c r="I4" s="171"/>
      <c r="J4" s="171"/>
      <c r="K4" s="171"/>
      <c r="L4" s="171"/>
      <c r="M4" s="171"/>
    </row>
    <row r="5" spans="2:18" ht="15" thickBot="1" x14ac:dyDescent="0.3">
      <c r="B5" s="53"/>
      <c r="D5" s="23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190</v>
      </c>
      <c r="K5" s="17" t="s">
        <v>215</v>
      </c>
      <c r="L5" s="18" t="s">
        <v>219</v>
      </c>
      <c r="M5" s="55" t="s">
        <v>0</v>
      </c>
    </row>
    <row r="6" spans="2:18" x14ac:dyDescent="0.25">
      <c r="B6" s="53"/>
      <c r="D6" s="48" t="s">
        <v>15</v>
      </c>
      <c r="E6" s="56">
        <v>757858</v>
      </c>
      <c r="F6" s="56">
        <v>191252</v>
      </c>
      <c r="G6" s="56">
        <v>386201</v>
      </c>
      <c r="H6" s="56">
        <v>583894</v>
      </c>
      <c r="I6" s="56">
        <v>782686</v>
      </c>
      <c r="J6" s="56">
        <v>197213</v>
      </c>
      <c r="K6" s="56">
        <v>395192</v>
      </c>
      <c r="L6" s="57">
        <v>598103.24732775497</v>
      </c>
      <c r="M6" s="58">
        <f>+L6/H6-1</f>
        <v>2.4335319985742121E-2</v>
      </c>
    </row>
    <row r="7" spans="2:18" x14ac:dyDescent="0.25">
      <c r="B7" s="53"/>
      <c r="D7" s="48" t="s">
        <v>36</v>
      </c>
      <c r="E7" s="56">
        <v>138034</v>
      </c>
      <c r="F7" s="56">
        <v>35735</v>
      </c>
      <c r="G7" s="56">
        <v>72264</v>
      </c>
      <c r="H7" s="56">
        <v>109405</v>
      </c>
      <c r="I7" s="56">
        <v>146847</v>
      </c>
      <c r="J7" s="56">
        <v>37360</v>
      </c>
      <c r="K7" s="56">
        <v>75212</v>
      </c>
      <c r="L7" s="57">
        <v>113982.33140999996</v>
      </c>
      <c r="M7" s="58">
        <f t="shared" ref="M7:M10" si="0">+L7/H7-1</f>
        <v>4.1838411498559935E-2</v>
      </c>
    </row>
    <row r="8" spans="2:18" x14ac:dyDescent="0.25">
      <c r="B8" s="53"/>
      <c r="D8" s="48" t="s">
        <v>37</v>
      </c>
      <c r="E8" s="56">
        <v>28452</v>
      </c>
      <c r="F8" s="56">
        <v>7339</v>
      </c>
      <c r="G8" s="56">
        <v>14775</v>
      </c>
      <c r="H8" s="56">
        <v>22325</v>
      </c>
      <c r="I8" s="56">
        <v>29949</v>
      </c>
      <c r="J8" s="56">
        <v>7839</v>
      </c>
      <c r="K8" s="56">
        <v>15767</v>
      </c>
      <c r="L8" s="57">
        <v>23947.163200000006</v>
      </c>
      <c r="M8" s="58">
        <f t="shared" si="0"/>
        <v>7.2661285554311617E-2</v>
      </c>
    </row>
    <row r="9" spans="2:18" ht="15" thickBot="1" x14ac:dyDescent="0.3">
      <c r="B9" s="53"/>
      <c r="D9" s="48" t="s">
        <v>38</v>
      </c>
      <c r="E9" s="56">
        <v>1100</v>
      </c>
      <c r="F9" s="56">
        <v>244</v>
      </c>
      <c r="G9" s="56">
        <v>423</v>
      </c>
      <c r="H9" s="56">
        <v>603</v>
      </c>
      <c r="I9" s="56">
        <v>784</v>
      </c>
      <c r="J9" s="56">
        <v>206</v>
      </c>
      <c r="K9" s="56">
        <v>436</v>
      </c>
      <c r="L9" s="57">
        <v>738.86337999999921</v>
      </c>
      <c r="M9" s="58">
        <f t="shared" si="0"/>
        <v>0.22531240464344804</v>
      </c>
    </row>
    <row r="10" spans="2:18" ht="15" thickBot="1" x14ac:dyDescent="0.3">
      <c r="B10" s="53"/>
      <c r="D10" s="42" t="s">
        <v>1</v>
      </c>
      <c r="E10" s="59">
        <f t="shared" ref="E10:I10" si="1">SUM(E6:E9)</f>
        <v>925444</v>
      </c>
      <c r="F10" s="59">
        <f t="shared" si="1"/>
        <v>234570</v>
      </c>
      <c r="G10" s="59">
        <f t="shared" si="1"/>
        <v>473663</v>
      </c>
      <c r="H10" s="59">
        <f t="shared" si="1"/>
        <v>716227</v>
      </c>
      <c r="I10" s="59">
        <f t="shared" si="1"/>
        <v>960266</v>
      </c>
      <c r="J10" s="59">
        <f t="shared" ref="J10:L10" si="2">SUM(J6:J9)</f>
        <v>242618</v>
      </c>
      <c r="K10" s="59">
        <f t="shared" si="2"/>
        <v>486607</v>
      </c>
      <c r="L10" s="60">
        <f t="shared" si="2"/>
        <v>736771.6053177549</v>
      </c>
      <c r="M10" s="61">
        <f t="shared" si="0"/>
        <v>2.868448874135554E-2</v>
      </c>
    </row>
    <row r="11" spans="2:18" x14ac:dyDescent="0.25">
      <c r="B11" s="53"/>
      <c r="D11" s="19"/>
      <c r="E11" s="19"/>
      <c r="F11" s="19"/>
      <c r="G11" s="19"/>
      <c r="H11" s="19"/>
      <c r="I11" s="19"/>
      <c r="J11" s="19"/>
      <c r="K11" s="19"/>
      <c r="L11" s="19"/>
    </row>
    <row r="12" spans="2:18" x14ac:dyDescent="0.25">
      <c r="B12" s="53"/>
      <c r="D12" s="19"/>
      <c r="E12" s="19"/>
      <c r="F12" s="19"/>
      <c r="G12" s="19"/>
      <c r="H12" s="19"/>
      <c r="I12" s="19"/>
      <c r="J12" s="19"/>
      <c r="K12" s="19"/>
      <c r="L12" s="19"/>
    </row>
    <row r="13" spans="2:18" x14ac:dyDescent="0.25">
      <c r="B13" s="53"/>
      <c r="D13" s="54"/>
      <c r="E13" s="171" t="s">
        <v>54</v>
      </c>
      <c r="F13" s="171"/>
      <c r="G13" s="171"/>
      <c r="H13" s="171"/>
      <c r="I13" s="171"/>
      <c r="J13" s="171"/>
      <c r="K13" s="171"/>
      <c r="L13" s="171"/>
      <c r="M13" s="171"/>
    </row>
    <row r="14" spans="2:18" ht="15" thickBot="1" x14ac:dyDescent="0.3">
      <c r="B14" s="53"/>
      <c r="D14" s="23"/>
      <c r="E14" s="17" t="s">
        <v>16</v>
      </c>
      <c r="F14" s="17" t="s">
        <v>17</v>
      </c>
      <c r="G14" s="17" t="s">
        <v>18</v>
      </c>
      <c r="H14" s="17" t="s">
        <v>19</v>
      </c>
      <c r="I14" s="17" t="s">
        <v>20</v>
      </c>
      <c r="J14" s="17" t="s">
        <v>190</v>
      </c>
      <c r="K14" s="17" t="s">
        <v>215</v>
      </c>
      <c r="L14" s="18" t="s">
        <v>219</v>
      </c>
      <c r="M14" s="55" t="s">
        <v>0</v>
      </c>
    </row>
    <row r="15" spans="2:18" x14ac:dyDescent="0.25">
      <c r="B15" s="53"/>
      <c r="D15" s="48" t="s">
        <v>15</v>
      </c>
      <c r="E15" s="56">
        <v>772787</v>
      </c>
      <c r="F15" s="56">
        <v>191526</v>
      </c>
      <c r="G15" s="56">
        <v>396107</v>
      </c>
      <c r="H15" s="56">
        <v>595239</v>
      </c>
      <c r="I15" s="56">
        <v>792684</v>
      </c>
      <c r="J15" s="56">
        <v>195771</v>
      </c>
      <c r="K15" s="56">
        <v>402583</v>
      </c>
      <c r="L15" s="57">
        <v>612487.58698000002</v>
      </c>
      <c r="M15" s="58">
        <f t="shared" ref="M15:M19" si="3">+L15/H15-1</f>
        <v>2.8977582080475184E-2</v>
      </c>
      <c r="O15" s="62"/>
      <c r="P15" s="62"/>
      <c r="Q15" s="62"/>
      <c r="R15" s="62"/>
    </row>
    <row r="16" spans="2:18" x14ac:dyDescent="0.25">
      <c r="B16" s="53"/>
      <c r="D16" s="48" t="s">
        <v>36</v>
      </c>
      <c r="E16" s="56">
        <v>143713</v>
      </c>
      <c r="F16" s="56">
        <v>37607</v>
      </c>
      <c r="G16" s="56">
        <v>75283</v>
      </c>
      <c r="H16" s="56">
        <v>111604</v>
      </c>
      <c r="I16" s="56">
        <v>149430</v>
      </c>
      <c r="J16" s="56">
        <v>39270</v>
      </c>
      <c r="K16" s="56">
        <v>78628</v>
      </c>
      <c r="L16" s="57">
        <v>117010.78094000001</v>
      </c>
      <c r="M16" s="58">
        <f t="shared" si="3"/>
        <v>4.8446121465180569E-2</v>
      </c>
      <c r="O16" s="62"/>
      <c r="P16" s="62"/>
      <c r="Q16" s="62"/>
      <c r="R16" s="62"/>
    </row>
    <row r="17" spans="2:18" x14ac:dyDescent="0.25">
      <c r="B17" s="53"/>
      <c r="D17" s="48" t="s">
        <v>37</v>
      </c>
      <c r="E17" s="56">
        <v>29082</v>
      </c>
      <c r="F17" s="56">
        <v>14335</v>
      </c>
      <c r="G17" s="56">
        <v>19803</v>
      </c>
      <c r="H17" s="56">
        <v>24335</v>
      </c>
      <c r="I17" s="56">
        <v>30384</v>
      </c>
      <c r="J17" s="56">
        <v>15579</v>
      </c>
      <c r="K17" s="56">
        <v>21656</v>
      </c>
      <c r="L17" s="57">
        <v>26772.181279999993</v>
      </c>
      <c r="M17" s="58">
        <f t="shared" si="3"/>
        <v>0.10015127511814237</v>
      </c>
      <c r="O17" s="62"/>
      <c r="P17" s="62"/>
      <c r="Q17" s="62"/>
      <c r="R17" s="62"/>
    </row>
    <row r="18" spans="2:18" ht="15" thickBot="1" x14ac:dyDescent="0.3">
      <c r="B18" s="53"/>
      <c r="D18" s="48" t="s">
        <v>38</v>
      </c>
      <c r="E18" s="56">
        <v>1097</v>
      </c>
      <c r="F18" s="56">
        <v>741</v>
      </c>
      <c r="G18" s="56">
        <v>754</v>
      </c>
      <c r="H18" s="56">
        <v>767</v>
      </c>
      <c r="I18" s="56">
        <v>783</v>
      </c>
      <c r="J18" s="56">
        <v>799</v>
      </c>
      <c r="K18" s="56">
        <v>1033</v>
      </c>
      <c r="L18" s="57">
        <v>1358.5527999999997</v>
      </c>
      <c r="M18" s="58">
        <f t="shared" si="3"/>
        <v>0.77125528031290713</v>
      </c>
      <c r="O18" s="62"/>
      <c r="P18" s="62"/>
      <c r="Q18" s="62"/>
      <c r="R18" s="62"/>
    </row>
    <row r="19" spans="2:18" ht="15" thickBot="1" x14ac:dyDescent="0.3">
      <c r="B19" s="53"/>
      <c r="D19" s="42" t="s">
        <v>1</v>
      </c>
      <c r="E19" s="59">
        <f t="shared" ref="E19:I19" si="4">SUM(E15:E18)</f>
        <v>946679</v>
      </c>
      <c r="F19" s="59">
        <f t="shared" si="4"/>
        <v>244209</v>
      </c>
      <c r="G19" s="59">
        <f t="shared" si="4"/>
        <v>491947</v>
      </c>
      <c r="H19" s="59">
        <f t="shared" si="4"/>
        <v>731945</v>
      </c>
      <c r="I19" s="59">
        <f t="shared" si="4"/>
        <v>973281</v>
      </c>
      <c r="J19" s="59">
        <f t="shared" ref="J19:L19" si="5">SUM(J15:J18)</f>
        <v>251419</v>
      </c>
      <c r="K19" s="59">
        <f t="shared" si="5"/>
        <v>503900</v>
      </c>
      <c r="L19" s="60">
        <f t="shared" si="5"/>
        <v>757629.10199999996</v>
      </c>
      <c r="M19" s="61">
        <f t="shared" si="3"/>
        <v>3.5090207597565426E-2</v>
      </c>
      <c r="O19" s="62"/>
      <c r="P19" s="62"/>
      <c r="Q19" s="62"/>
      <c r="R19" s="62"/>
    </row>
    <row r="20" spans="2:18" x14ac:dyDescent="0.25">
      <c r="B20" s="53"/>
      <c r="D20" s="33"/>
      <c r="E20" s="63"/>
      <c r="F20" s="63"/>
      <c r="G20" s="64"/>
      <c r="H20" s="64"/>
      <c r="I20" s="64"/>
      <c r="J20" s="64"/>
      <c r="K20" s="64"/>
      <c r="L20" s="64"/>
    </row>
    <row r="22" spans="2:18" x14ac:dyDescent="0.25">
      <c r="D22" s="54"/>
      <c r="E22" s="171" t="s">
        <v>218</v>
      </c>
      <c r="F22" s="171"/>
      <c r="G22" s="171"/>
      <c r="H22" s="171"/>
      <c r="I22" s="171"/>
      <c r="J22" s="171"/>
      <c r="K22" s="171"/>
      <c r="L22" s="171"/>
      <c r="M22" s="171"/>
    </row>
    <row r="23" spans="2:18" ht="15" thickBot="1" x14ac:dyDescent="0.3">
      <c r="D23" s="23"/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17" t="s">
        <v>190</v>
      </c>
      <c r="K23" s="17" t="s">
        <v>215</v>
      </c>
      <c r="L23" s="18" t="s">
        <v>219</v>
      </c>
      <c r="M23" s="65" t="s">
        <v>0</v>
      </c>
    </row>
    <row r="24" spans="2:18" x14ac:dyDescent="0.25">
      <c r="D24" s="48" t="s">
        <v>15</v>
      </c>
      <c r="E24" s="56">
        <v>2597196</v>
      </c>
      <c r="F24" s="56">
        <v>2604274</v>
      </c>
      <c r="G24" s="56">
        <v>2561562</v>
      </c>
      <c r="H24" s="56">
        <v>2512048</v>
      </c>
      <c r="I24" s="56">
        <v>2471102</v>
      </c>
      <c r="J24" s="56">
        <v>2459266</v>
      </c>
      <c r="K24" s="56">
        <v>2464589</v>
      </c>
      <c r="L24" s="57">
        <v>2484431</v>
      </c>
      <c r="M24" s="58">
        <f t="shared" ref="M24:M28" si="6">+L24/H24-1</f>
        <v>-1.0993818589453697E-2</v>
      </c>
    </row>
    <row r="25" spans="2:18" x14ac:dyDescent="0.25">
      <c r="D25" s="48" t="s">
        <v>36</v>
      </c>
      <c r="E25" s="56">
        <v>752170</v>
      </c>
      <c r="F25" s="56">
        <v>756659</v>
      </c>
      <c r="G25" s="56">
        <v>746476</v>
      </c>
      <c r="H25" s="56">
        <v>733763</v>
      </c>
      <c r="I25" s="56">
        <v>726654</v>
      </c>
      <c r="J25" s="56">
        <v>726800</v>
      </c>
      <c r="K25" s="56">
        <v>728613</v>
      </c>
      <c r="L25" s="57">
        <v>731544</v>
      </c>
      <c r="M25" s="58">
        <f t="shared" si="6"/>
        <v>-3.0241372214189211E-3</v>
      </c>
    </row>
    <row r="26" spans="2:18" x14ac:dyDescent="0.25">
      <c r="D26" s="48" t="s">
        <v>37</v>
      </c>
      <c r="E26" s="56">
        <v>109576</v>
      </c>
      <c r="F26" s="56">
        <v>106197</v>
      </c>
      <c r="G26" s="56">
        <v>107956</v>
      </c>
      <c r="H26" s="56">
        <v>110459</v>
      </c>
      <c r="I26" s="56">
        <v>117354</v>
      </c>
      <c r="J26" s="56">
        <v>117567</v>
      </c>
      <c r="K26" s="56">
        <v>117014</v>
      </c>
      <c r="L26" s="57">
        <v>117503</v>
      </c>
      <c r="M26" s="58">
        <f t="shared" si="6"/>
        <v>6.3770267701138028E-2</v>
      </c>
    </row>
    <row r="27" spans="2:18" ht="15" thickBot="1" x14ac:dyDescent="0.3">
      <c r="D27" s="48" t="s">
        <v>38</v>
      </c>
      <c r="E27" s="56">
        <v>4034</v>
      </c>
      <c r="F27" s="56">
        <v>3880</v>
      </c>
      <c r="G27" s="56">
        <v>3713</v>
      </c>
      <c r="H27" s="56">
        <v>3606</v>
      </c>
      <c r="I27" s="56">
        <v>3494</v>
      </c>
      <c r="J27" s="56">
        <v>12284</v>
      </c>
      <c r="K27" s="56">
        <v>27663</v>
      </c>
      <c r="L27" s="57">
        <v>43872</v>
      </c>
      <c r="M27" s="58">
        <f t="shared" si="6"/>
        <v>11.166389351081531</v>
      </c>
    </row>
    <row r="28" spans="2:18" ht="15" thickBot="1" x14ac:dyDescent="0.3">
      <c r="D28" s="42" t="s">
        <v>1</v>
      </c>
      <c r="E28" s="59">
        <f t="shared" ref="E28:I28" si="7">SUM(E24:E27)</f>
        <v>3462976</v>
      </c>
      <c r="F28" s="59">
        <f t="shared" si="7"/>
        <v>3471010</v>
      </c>
      <c r="G28" s="59">
        <f t="shared" si="7"/>
        <v>3419707</v>
      </c>
      <c r="H28" s="59">
        <f t="shared" si="7"/>
        <v>3359876</v>
      </c>
      <c r="I28" s="59">
        <f t="shared" si="7"/>
        <v>3318604</v>
      </c>
      <c r="J28" s="59">
        <f t="shared" ref="J28:L28" si="8">SUM(J24:J27)</f>
        <v>3315917</v>
      </c>
      <c r="K28" s="59">
        <f t="shared" si="8"/>
        <v>3337879</v>
      </c>
      <c r="L28" s="60">
        <f t="shared" si="8"/>
        <v>3377350</v>
      </c>
      <c r="M28" s="61">
        <f t="shared" si="6"/>
        <v>5.2007871719075283E-3</v>
      </c>
    </row>
    <row r="31" spans="2:18" x14ac:dyDescent="0.25">
      <c r="D31" s="54"/>
      <c r="E31" s="171" t="s">
        <v>56</v>
      </c>
      <c r="F31" s="171"/>
      <c r="G31" s="171"/>
      <c r="H31" s="171"/>
      <c r="I31" s="171"/>
      <c r="J31" s="171"/>
      <c r="K31" s="171"/>
      <c r="L31" s="171"/>
      <c r="M31" s="171"/>
    </row>
    <row r="32" spans="2:18" ht="15" thickBot="1" x14ac:dyDescent="0.3">
      <c r="D32" s="23"/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7" t="s">
        <v>190</v>
      </c>
      <c r="K32" s="17" t="s">
        <v>215</v>
      </c>
      <c r="L32" s="18" t="s">
        <v>219</v>
      </c>
      <c r="M32" s="65" t="s">
        <v>0</v>
      </c>
    </row>
    <row r="33" spans="4:13" x14ac:dyDescent="0.25">
      <c r="D33" s="48" t="s">
        <v>15</v>
      </c>
      <c r="E33" s="56">
        <v>37662</v>
      </c>
      <c r="F33" s="56">
        <v>-13011</v>
      </c>
      <c r="G33" s="56">
        <v>-35222</v>
      </c>
      <c r="H33" s="56">
        <v>-38369</v>
      </c>
      <c r="I33" s="56">
        <v>-34907</v>
      </c>
      <c r="J33" s="56">
        <v>6946</v>
      </c>
      <c r="K33" s="56">
        <v>17142</v>
      </c>
      <c r="L33" s="57">
        <v>26991.698508643443</v>
      </c>
      <c r="M33" s="58" t="s">
        <v>192</v>
      </c>
    </row>
    <row r="34" spans="4:13" x14ac:dyDescent="0.25">
      <c r="D34" s="48" t="s">
        <v>36</v>
      </c>
      <c r="E34" s="56">
        <v>7574</v>
      </c>
      <c r="F34" s="56">
        <v>-516</v>
      </c>
      <c r="G34" s="56">
        <v>3119</v>
      </c>
      <c r="H34" s="56">
        <v>3395</v>
      </c>
      <c r="I34" s="56">
        <v>6002</v>
      </c>
      <c r="J34" s="56">
        <v>1219</v>
      </c>
      <c r="K34" s="56">
        <v>8193</v>
      </c>
      <c r="L34" s="57">
        <v>11306.372366829473</v>
      </c>
      <c r="M34" s="58">
        <f t="shared" ref="M34:M36" si="9">+L34/H34-1</f>
        <v>2.3303011389777537</v>
      </c>
    </row>
    <row r="35" spans="4:13" x14ac:dyDescent="0.25">
      <c r="D35" s="48" t="s">
        <v>37</v>
      </c>
      <c r="E35" s="56">
        <v>-8458</v>
      </c>
      <c r="F35" s="56">
        <v>-2204</v>
      </c>
      <c r="G35" s="56">
        <v>-4607</v>
      </c>
      <c r="H35" s="56">
        <v>-7000</v>
      </c>
      <c r="I35" s="56">
        <v>-9558</v>
      </c>
      <c r="J35" s="56">
        <v>-1795</v>
      </c>
      <c r="K35" s="56">
        <v>-3681</v>
      </c>
      <c r="L35" s="57">
        <v>-5369.9744485634956</v>
      </c>
      <c r="M35" s="58">
        <f t="shared" si="9"/>
        <v>-0.23286079306235774</v>
      </c>
    </row>
    <row r="36" spans="4:13" ht="15" thickBot="1" x14ac:dyDescent="0.3">
      <c r="D36" s="48" t="s">
        <v>38</v>
      </c>
      <c r="E36" s="56">
        <v>352</v>
      </c>
      <c r="F36" s="56">
        <v>104</v>
      </c>
      <c r="G36" s="56">
        <v>175</v>
      </c>
      <c r="H36" s="56">
        <v>231</v>
      </c>
      <c r="I36" s="56">
        <v>238</v>
      </c>
      <c r="J36" s="56">
        <v>-59</v>
      </c>
      <c r="K36" s="56">
        <v>-67</v>
      </c>
      <c r="L36" s="57">
        <v>-75.776652496000793</v>
      </c>
      <c r="M36" s="58">
        <f t="shared" si="9"/>
        <v>-1.3280374566926441</v>
      </c>
    </row>
    <row r="37" spans="4:13" ht="15" thickBot="1" x14ac:dyDescent="0.3">
      <c r="D37" s="42" t="s">
        <v>1</v>
      </c>
      <c r="E37" s="59">
        <f t="shared" ref="E37:I37" si="10">SUM(E33:E36)</f>
        <v>37130</v>
      </c>
      <c r="F37" s="59">
        <f t="shared" si="10"/>
        <v>-15627</v>
      </c>
      <c r="G37" s="59">
        <f t="shared" si="10"/>
        <v>-36535</v>
      </c>
      <c r="H37" s="59">
        <f t="shared" si="10"/>
        <v>-41743</v>
      </c>
      <c r="I37" s="59">
        <f t="shared" si="10"/>
        <v>-38225</v>
      </c>
      <c r="J37" s="59">
        <f t="shared" ref="J37:L37" si="11">SUM(J33:J36)</f>
        <v>6311</v>
      </c>
      <c r="K37" s="59">
        <f t="shared" si="11"/>
        <v>21587</v>
      </c>
      <c r="L37" s="60">
        <f t="shared" si="11"/>
        <v>32852.319774413416</v>
      </c>
      <c r="M37" s="61" t="s">
        <v>192</v>
      </c>
    </row>
    <row r="40" spans="4:13" x14ac:dyDescent="0.25">
      <c r="D40" s="54"/>
      <c r="E40" s="171" t="s">
        <v>55</v>
      </c>
      <c r="F40" s="171"/>
      <c r="G40" s="171"/>
      <c r="H40" s="171"/>
      <c r="I40" s="171"/>
      <c r="J40" s="171"/>
      <c r="K40" s="171"/>
      <c r="L40" s="171"/>
      <c r="M40" s="171"/>
    </row>
    <row r="41" spans="4:13" ht="15" thickBot="1" x14ac:dyDescent="0.3">
      <c r="D41" s="23"/>
      <c r="E41" s="17" t="s">
        <v>16</v>
      </c>
      <c r="F41" s="17" t="s">
        <v>17</v>
      </c>
      <c r="G41" s="17" t="s">
        <v>18</v>
      </c>
      <c r="H41" s="17" t="s">
        <v>19</v>
      </c>
      <c r="I41" s="17" t="s">
        <v>20</v>
      </c>
      <c r="J41" s="17" t="s">
        <v>190</v>
      </c>
      <c r="K41" s="17" t="s">
        <v>215</v>
      </c>
      <c r="L41" s="18" t="s">
        <v>219</v>
      </c>
      <c r="M41" s="66" t="s">
        <v>13</v>
      </c>
    </row>
    <row r="42" spans="4:13" x14ac:dyDescent="0.25">
      <c r="D42" s="48" t="s">
        <v>15</v>
      </c>
      <c r="E42" s="67">
        <v>0.94999156833038334</v>
      </c>
      <c r="F42" s="67">
        <v>1.0684821912616913</v>
      </c>
      <c r="G42" s="67">
        <v>1.0918018943165291</v>
      </c>
      <c r="H42" s="67">
        <v>1.0661412499744833</v>
      </c>
      <c r="I42" s="67">
        <v>1.0448886688484957</v>
      </c>
      <c r="J42" s="67">
        <v>0.96453788462814805</v>
      </c>
      <c r="K42" s="67">
        <v>0.95632756112536399</v>
      </c>
      <c r="L42" s="68">
        <v>0.95456472478207199</v>
      </c>
      <c r="M42" s="69">
        <f t="shared" ref="M42:M44" si="12">(L42-H42)*100</f>
        <v>-11.157652519241134</v>
      </c>
    </row>
    <row r="43" spans="4:13" x14ac:dyDescent="0.25">
      <c r="D43" s="48" t="s">
        <v>36</v>
      </c>
      <c r="E43" s="67">
        <v>0.94164869029275811</v>
      </c>
      <c r="F43" s="67">
        <v>1.0149851890573269</v>
      </c>
      <c r="G43" s="67">
        <v>0.95534205778757775</v>
      </c>
      <c r="H43" s="67">
        <v>0.96789648189137911</v>
      </c>
      <c r="I43" s="67">
        <v>0.95771929330215</v>
      </c>
      <c r="J43" s="67">
        <v>0.96613042149426243</v>
      </c>
      <c r="K43" s="67">
        <v>0.88755146856986</v>
      </c>
      <c r="L43" s="68">
        <v>0.89781120356249633</v>
      </c>
      <c r="M43" s="69">
        <f t="shared" si="12"/>
        <v>-7.0085278328882783</v>
      </c>
    </row>
    <row r="44" spans="4:13" x14ac:dyDescent="0.25">
      <c r="D44" s="48" t="s">
        <v>37</v>
      </c>
      <c r="E44" s="67">
        <v>1.5421447343119032</v>
      </c>
      <c r="F44" s="67">
        <v>1.5504495504495504</v>
      </c>
      <c r="G44" s="67">
        <v>1.5713045634920635</v>
      </c>
      <c r="H44" s="67">
        <v>1.5736429350533556</v>
      </c>
      <c r="I44" s="67">
        <v>1.5823432644854689</v>
      </c>
      <c r="J44" s="67">
        <v>1.4155092592592593</v>
      </c>
      <c r="K44" s="67">
        <v>1.4216977889792646</v>
      </c>
      <c r="L44" s="68">
        <v>1.4046634009423897</v>
      </c>
      <c r="M44" s="69">
        <f t="shared" si="12"/>
        <v>-16.897953411096587</v>
      </c>
    </row>
    <row r="45" spans="4:13" ht="15" thickBot="1" x14ac:dyDescent="0.3">
      <c r="D45" s="48" t="s">
        <v>38</v>
      </c>
      <c r="E45" s="67">
        <v>0.66948356807511744</v>
      </c>
      <c r="F45" s="67">
        <v>0.55744680851063833</v>
      </c>
      <c r="G45" s="67">
        <v>0.57627118644067798</v>
      </c>
      <c r="H45" s="67">
        <v>0.61038403473012948</v>
      </c>
      <c r="I45" s="67">
        <v>0.69210866752910738</v>
      </c>
      <c r="J45" s="67">
        <v>1.3138297872340425</v>
      </c>
      <c r="K45" s="67">
        <v>1.1610576923076925</v>
      </c>
      <c r="L45" s="68">
        <v>1.1061154086099847</v>
      </c>
      <c r="M45" s="69">
        <f>(L45-H45)*100</f>
        <v>49.573137387985525</v>
      </c>
    </row>
    <row r="46" spans="4:13" ht="15" thickBot="1" x14ac:dyDescent="0.3">
      <c r="D46" s="42" t="s">
        <v>1</v>
      </c>
      <c r="E46" s="70">
        <v>0.95872513698074324</v>
      </c>
      <c r="F46" s="70">
        <v>1.0683404471189168</v>
      </c>
      <c r="G46" s="70">
        <v>1.0790812847813711</v>
      </c>
      <c r="H46" s="70">
        <v>1.0597474759477064</v>
      </c>
      <c r="I46" s="70">
        <v>1.0408048019966332</v>
      </c>
      <c r="J46" s="70">
        <v>0.97330033422177087</v>
      </c>
      <c r="K46" s="70">
        <v>0.95450761718708832</v>
      </c>
      <c r="L46" s="71">
        <v>0.95428896094897686</v>
      </c>
      <c r="M46" s="72">
        <f t="shared" ref="M46" si="13">(L46-H46)*100</f>
        <v>-10.545851499872949</v>
      </c>
    </row>
    <row r="47" spans="4:13" x14ac:dyDescent="0.25">
      <c r="E47" s="63"/>
      <c r="F47" s="63"/>
      <c r="G47" s="64"/>
      <c r="H47" s="64"/>
      <c r="I47" s="64"/>
      <c r="J47" s="64"/>
      <c r="K47" s="64"/>
      <c r="L47" s="64"/>
    </row>
    <row r="48" spans="4:13" x14ac:dyDescent="0.25">
      <c r="E48" s="19"/>
      <c r="F48" s="19"/>
      <c r="G48" s="27"/>
      <c r="H48" s="27"/>
      <c r="I48" s="27"/>
      <c r="J48" s="27"/>
      <c r="K48" s="27"/>
      <c r="L48" s="27"/>
      <c r="M48" s="27" t="s">
        <v>47</v>
      </c>
    </row>
  </sheetData>
  <mergeCells count="5">
    <mergeCell ref="E13:M13"/>
    <mergeCell ref="E31:M31"/>
    <mergeCell ref="E40:M40"/>
    <mergeCell ref="E4:M4"/>
    <mergeCell ref="E22:M22"/>
  </mergeCells>
  <hyperlinks>
    <hyperlink ref="B2" location="'Financial Supplement&gt;&gt;&gt;'!A1" display="ÍNDICE" xr:uid="{6BB769DE-E41E-48EC-93D7-E78621D67230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customWidth="1" collapsed="1"/>
    <col min="9" max="9" width="11" style="73" customWidth="1"/>
    <col min="10" max="10" width="11" style="73" hidden="1" customWidth="1" outlineLevel="1" collapsed="1"/>
    <col min="11" max="11" width="11" style="73" hidden="1" customWidth="1" outlineLevel="1"/>
    <col min="12" max="12" width="11" style="73" customWidth="1" collapsed="1"/>
    <col min="13" max="13" width="11" style="73" customWidth="1"/>
    <col min="14" max="14" width="3" style="13" customWidth="1"/>
    <col min="15" max="16384" width="10.85546875" style="73"/>
  </cols>
  <sheetData>
    <row r="1" spans="2:21" ht="16.5" customHeight="1" x14ac:dyDescent="0.2"/>
    <row r="2" spans="2:21" ht="18.75" customHeight="1" thickBot="1" x14ac:dyDescent="0.25">
      <c r="B2" s="11" t="s">
        <v>32</v>
      </c>
      <c r="D2" s="14" t="s">
        <v>42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44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215</v>
      </c>
      <c r="L4" s="74" t="s">
        <v>219</v>
      </c>
      <c r="M4" s="75" t="s">
        <v>0</v>
      </c>
      <c r="N4" s="13"/>
      <c r="O4" s="47" t="s">
        <v>62</v>
      </c>
      <c r="P4" s="47" t="s">
        <v>63</v>
      </c>
      <c r="Q4" s="47" t="s">
        <v>64</v>
      </c>
      <c r="R4" s="47" t="s">
        <v>65</v>
      </c>
      <c r="S4" s="47" t="s">
        <v>191</v>
      </c>
      <c r="T4" s="47" t="s">
        <v>216</v>
      </c>
      <c r="U4" s="74" t="s">
        <v>220</v>
      </c>
    </row>
    <row r="5" spans="2:21" s="10" customFormat="1" x14ac:dyDescent="0.25">
      <c r="D5" s="33" t="s">
        <v>54</v>
      </c>
      <c r="E5" s="76">
        <v>772787</v>
      </c>
      <c r="F5" s="76">
        <v>191526</v>
      </c>
      <c r="G5" s="76">
        <v>396107</v>
      </c>
      <c r="H5" s="76">
        <v>595239</v>
      </c>
      <c r="I5" s="76">
        <v>792684</v>
      </c>
      <c r="J5" s="76">
        <v>195771</v>
      </c>
      <c r="K5" s="76">
        <v>402583</v>
      </c>
      <c r="L5" s="77">
        <v>612487.58698000002</v>
      </c>
      <c r="M5" s="78">
        <f>+L5/H5-1</f>
        <v>2.8977582080475184E-2</v>
      </c>
      <c r="N5" s="13"/>
      <c r="O5" s="76">
        <f>F5</f>
        <v>191526</v>
      </c>
      <c r="P5" s="76">
        <f t="shared" ref="P5:R10" si="0">G5-F5</f>
        <v>204581</v>
      </c>
      <c r="Q5" s="76">
        <f t="shared" si="0"/>
        <v>199132</v>
      </c>
      <c r="R5" s="76">
        <f t="shared" si="0"/>
        <v>197445</v>
      </c>
      <c r="S5" s="76">
        <f>J5</f>
        <v>195771</v>
      </c>
      <c r="T5" s="76">
        <f>K5-J5</f>
        <v>206812</v>
      </c>
      <c r="U5" s="77">
        <f>L5-K5</f>
        <v>209904.58698000002</v>
      </c>
    </row>
    <row r="6" spans="2:21" s="10" customFormat="1" x14ac:dyDescent="0.25">
      <c r="D6" s="33" t="s">
        <v>57</v>
      </c>
      <c r="E6" s="76">
        <v>753113</v>
      </c>
      <c r="F6" s="76">
        <v>189991</v>
      </c>
      <c r="G6" s="76">
        <v>383674</v>
      </c>
      <c r="H6" s="76">
        <v>580101</v>
      </c>
      <c r="I6" s="76">
        <v>777635</v>
      </c>
      <c r="J6" s="76">
        <v>195871</v>
      </c>
      <c r="K6" s="76">
        <v>392513</v>
      </c>
      <c r="L6" s="77">
        <v>594069.21998775494</v>
      </c>
      <c r="M6" s="78">
        <f t="shared" ref="M6:M10" si="1">+L6/H6-1</f>
        <v>2.4078944852284234E-2</v>
      </c>
      <c r="N6" s="13"/>
      <c r="O6" s="76">
        <f t="shared" ref="O6:O10" si="2">F6</f>
        <v>189991</v>
      </c>
      <c r="P6" s="76">
        <f t="shared" si="0"/>
        <v>193683</v>
      </c>
      <c r="Q6" s="76">
        <f t="shared" si="0"/>
        <v>196427</v>
      </c>
      <c r="R6" s="76">
        <f t="shared" si="0"/>
        <v>197534</v>
      </c>
      <c r="S6" s="76">
        <f t="shared" ref="S6:S10" si="3">J6</f>
        <v>195871</v>
      </c>
      <c r="T6" s="76">
        <f t="shared" ref="T6:U10" si="4">K6-J6</f>
        <v>196642</v>
      </c>
      <c r="U6" s="77">
        <f t="shared" si="4"/>
        <v>201556.21998775494</v>
      </c>
    </row>
    <row r="7" spans="2:21" s="10" customFormat="1" x14ac:dyDescent="0.25">
      <c r="D7" s="48" t="s">
        <v>58</v>
      </c>
      <c r="E7" s="56">
        <v>-558716</v>
      </c>
      <c r="F7" s="56">
        <v>-163096</v>
      </c>
      <c r="G7" s="56">
        <v>-342468</v>
      </c>
      <c r="H7" s="56">
        <v>-502171</v>
      </c>
      <c r="I7" s="56">
        <v>-652866</v>
      </c>
      <c r="J7" s="56">
        <v>-148667</v>
      </c>
      <c r="K7" s="56">
        <v>-296352</v>
      </c>
      <c r="L7" s="57">
        <v>-448475.55080736522</v>
      </c>
      <c r="M7" s="79">
        <f t="shared" si="1"/>
        <v>-0.10692662298825462</v>
      </c>
      <c r="O7" s="56">
        <f t="shared" si="2"/>
        <v>-163096</v>
      </c>
      <c r="P7" s="56">
        <f t="shared" si="0"/>
        <v>-179372</v>
      </c>
      <c r="Q7" s="56">
        <f t="shared" si="0"/>
        <v>-159703</v>
      </c>
      <c r="R7" s="56">
        <f t="shared" si="0"/>
        <v>-150695</v>
      </c>
      <c r="S7" s="56">
        <f t="shared" si="3"/>
        <v>-148667</v>
      </c>
      <c r="T7" s="56">
        <f t="shared" si="4"/>
        <v>-147685</v>
      </c>
      <c r="U7" s="57">
        <f t="shared" si="4"/>
        <v>-152123.55080736522</v>
      </c>
    </row>
    <row r="8" spans="2:21" s="10" customFormat="1" x14ac:dyDescent="0.25">
      <c r="D8" s="48" t="s">
        <v>59</v>
      </c>
      <c r="E8" s="56">
        <f>SUM(E9:E10)</f>
        <v>-156735</v>
      </c>
      <c r="F8" s="56">
        <f t="shared" ref="F8:L8" si="5">SUM(F9:F10)</f>
        <v>-39906</v>
      </c>
      <c r="G8" s="56">
        <f t="shared" si="5"/>
        <v>-76428</v>
      </c>
      <c r="H8" s="56">
        <f t="shared" si="5"/>
        <v>-116299</v>
      </c>
      <c r="I8" s="56">
        <f t="shared" si="5"/>
        <v>-159676</v>
      </c>
      <c r="J8" s="56">
        <f t="shared" si="5"/>
        <v>-40258</v>
      </c>
      <c r="K8" s="56">
        <f t="shared" si="5"/>
        <v>-79019</v>
      </c>
      <c r="L8" s="57">
        <f t="shared" si="5"/>
        <v>-118601.97067174633</v>
      </c>
      <c r="M8" s="79">
        <f t="shared" si="1"/>
        <v>1.98021536878763E-2</v>
      </c>
      <c r="N8" s="13"/>
      <c r="O8" s="56">
        <f t="shared" si="2"/>
        <v>-39906</v>
      </c>
      <c r="P8" s="56">
        <f t="shared" si="0"/>
        <v>-36522</v>
      </c>
      <c r="Q8" s="56">
        <f t="shared" si="0"/>
        <v>-39871</v>
      </c>
      <c r="R8" s="56">
        <f t="shared" si="0"/>
        <v>-43377</v>
      </c>
      <c r="S8" s="56">
        <f t="shared" si="3"/>
        <v>-40258</v>
      </c>
      <c r="T8" s="56">
        <f t="shared" si="4"/>
        <v>-38761</v>
      </c>
      <c r="U8" s="57">
        <f t="shared" si="4"/>
        <v>-39582.970671746327</v>
      </c>
    </row>
    <row r="9" spans="2:21" s="10" customFormat="1" x14ac:dyDescent="0.25">
      <c r="D9" s="170" t="s">
        <v>180</v>
      </c>
      <c r="E9" s="56">
        <v>-131186</v>
      </c>
      <c r="F9" s="56">
        <v>-34237</v>
      </c>
      <c r="G9" s="56">
        <v>-64635</v>
      </c>
      <c r="H9" s="56">
        <v>-98484</v>
      </c>
      <c r="I9" s="56">
        <v>-135612</v>
      </c>
      <c r="J9" s="56">
        <v>-34798</v>
      </c>
      <c r="K9" s="56">
        <v>-67234</v>
      </c>
      <c r="L9" s="57">
        <v>-100892.07393362201</v>
      </c>
      <c r="M9" s="79">
        <f t="shared" si="1"/>
        <v>2.4451422907497911E-2</v>
      </c>
      <c r="N9" s="13"/>
      <c r="O9" s="56">
        <f t="shared" si="2"/>
        <v>-34237</v>
      </c>
      <c r="P9" s="56">
        <f t="shared" si="0"/>
        <v>-30398</v>
      </c>
      <c r="Q9" s="56">
        <f t="shared" si="0"/>
        <v>-33849</v>
      </c>
      <c r="R9" s="56">
        <f t="shared" si="0"/>
        <v>-37128</v>
      </c>
      <c r="S9" s="56">
        <f t="shared" si="3"/>
        <v>-34798</v>
      </c>
      <c r="T9" s="56">
        <f t="shared" si="4"/>
        <v>-32436</v>
      </c>
      <c r="U9" s="57">
        <f t="shared" si="4"/>
        <v>-33658.073933622014</v>
      </c>
    </row>
    <row r="10" spans="2:21" s="10" customFormat="1" ht="15" thickBot="1" x14ac:dyDescent="0.3">
      <c r="D10" s="170" t="s">
        <v>217</v>
      </c>
      <c r="E10" s="56">
        <v>-25549</v>
      </c>
      <c r="F10" s="56">
        <v>-5669</v>
      </c>
      <c r="G10" s="56">
        <v>-11793</v>
      </c>
      <c r="H10" s="56">
        <v>-17815</v>
      </c>
      <c r="I10" s="56">
        <v>-24064</v>
      </c>
      <c r="J10" s="56">
        <v>-5460</v>
      </c>
      <c r="K10" s="56">
        <v>-11785</v>
      </c>
      <c r="L10" s="57">
        <v>-17709.896738124316</v>
      </c>
      <c r="M10" s="79">
        <f t="shared" si="1"/>
        <v>-5.8997059711300981E-3</v>
      </c>
      <c r="N10" s="13"/>
      <c r="O10" s="56">
        <f t="shared" si="2"/>
        <v>-5669</v>
      </c>
      <c r="P10" s="56">
        <f t="shared" si="0"/>
        <v>-6124</v>
      </c>
      <c r="Q10" s="56">
        <f t="shared" si="0"/>
        <v>-6022</v>
      </c>
      <c r="R10" s="56">
        <f t="shared" si="0"/>
        <v>-6249</v>
      </c>
      <c r="S10" s="56">
        <f t="shared" si="3"/>
        <v>-5460</v>
      </c>
      <c r="T10" s="56">
        <f t="shared" si="4"/>
        <v>-6325</v>
      </c>
      <c r="U10" s="57">
        <f t="shared" si="4"/>
        <v>-5924.8967381243165</v>
      </c>
    </row>
    <row r="11" spans="2:21" s="10" customFormat="1" ht="15" thickBot="1" x14ac:dyDescent="0.3">
      <c r="D11" s="42" t="s">
        <v>56</v>
      </c>
      <c r="E11" s="59">
        <f t="shared" ref="E11:L11" si="6">SUM(E6,E7,E8)</f>
        <v>37662</v>
      </c>
      <c r="F11" s="59">
        <f t="shared" si="6"/>
        <v>-13011</v>
      </c>
      <c r="G11" s="59">
        <f t="shared" si="6"/>
        <v>-35222</v>
      </c>
      <c r="H11" s="59">
        <f t="shared" si="6"/>
        <v>-38369</v>
      </c>
      <c r="I11" s="59">
        <f t="shared" si="6"/>
        <v>-34907</v>
      </c>
      <c r="J11" s="59">
        <f t="shared" si="6"/>
        <v>6946</v>
      </c>
      <c r="K11" s="59">
        <f t="shared" si="6"/>
        <v>17142</v>
      </c>
      <c r="L11" s="60">
        <f t="shared" si="6"/>
        <v>26991.6985086434</v>
      </c>
      <c r="M11" s="80" t="s">
        <v>192</v>
      </c>
      <c r="N11" s="13"/>
      <c r="O11" s="59">
        <f>SUM(O6,O7,O8)</f>
        <v>-13011</v>
      </c>
      <c r="P11" s="59">
        <f>SUM(P6,P7,P8)</f>
        <v>-22211</v>
      </c>
      <c r="Q11" s="59">
        <f>SUM(Q6,Q7,Q8)</f>
        <v>-3147</v>
      </c>
      <c r="R11" s="59">
        <f>SUM(R6,R7,R8)</f>
        <v>3462</v>
      </c>
      <c r="S11" s="59">
        <f>SUM(S6,S7,S8)</f>
        <v>6946</v>
      </c>
      <c r="T11" s="59">
        <f t="shared" ref="T11:U11" si="7">SUM(T6,T7,T8)</f>
        <v>10196</v>
      </c>
      <c r="U11" s="60">
        <f t="shared" si="7"/>
        <v>9849.6985086433997</v>
      </c>
    </row>
    <row r="12" spans="2:21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9"/>
      <c r="M12" s="49"/>
      <c r="N12" s="13"/>
    </row>
    <row r="13" spans="2:21" s="10" customFormat="1" x14ac:dyDescent="0.25">
      <c r="D13" s="19"/>
      <c r="E13" s="81"/>
      <c r="F13" s="81"/>
      <c r="G13" s="81"/>
      <c r="H13" s="81"/>
      <c r="I13" s="81"/>
      <c r="J13" s="81"/>
      <c r="K13" s="81"/>
      <c r="L13" s="27"/>
      <c r="M13" s="27" t="s">
        <v>46</v>
      </c>
      <c r="N13" s="13"/>
      <c r="R13" s="27"/>
      <c r="S13" s="27"/>
      <c r="T13" s="27"/>
      <c r="U13" s="27" t="s">
        <v>46</v>
      </c>
    </row>
    <row r="14" spans="2:21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13"/>
    </row>
    <row r="15" spans="2:21" s="10" customFormat="1" x14ac:dyDescent="0.25">
      <c r="D15" s="33"/>
      <c r="E15" s="45"/>
      <c r="F15" s="45"/>
      <c r="G15" s="45"/>
      <c r="H15" s="45"/>
      <c r="I15" s="45"/>
      <c r="J15" s="45"/>
      <c r="K15" s="45"/>
      <c r="L15" s="49"/>
      <c r="M15" s="49"/>
      <c r="N15" s="13"/>
    </row>
    <row r="16" spans="2:21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215</v>
      </c>
      <c r="L16" s="74" t="s">
        <v>219</v>
      </c>
      <c r="M16" s="82" t="s">
        <v>2</v>
      </c>
      <c r="N16" s="13"/>
      <c r="O16" s="47" t="s">
        <v>62</v>
      </c>
      <c r="P16" s="47" t="s">
        <v>63</v>
      </c>
      <c r="Q16" s="47" t="s">
        <v>64</v>
      </c>
      <c r="R16" s="47" t="s">
        <v>65</v>
      </c>
      <c r="S16" s="47" t="s">
        <v>191</v>
      </c>
      <c r="T16" s="47" t="s">
        <v>216</v>
      </c>
      <c r="U16" s="74" t="s">
        <v>220</v>
      </c>
    </row>
    <row r="17" spans="4:21" s="10" customFormat="1" x14ac:dyDescent="0.25">
      <c r="D17" s="48" t="s">
        <v>60</v>
      </c>
      <c r="E17" s="49">
        <f>-E7/E6</f>
        <v>0.74187538921781992</v>
      </c>
      <c r="F17" s="49">
        <f>-F7/F6</f>
        <v>0.85844066297877264</v>
      </c>
      <c r="G17" s="49">
        <f>-G7/G6</f>
        <v>0.89260153150852029</v>
      </c>
      <c r="H17" s="49">
        <f>-H7/H6</f>
        <v>0.86566132449349342</v>
      </c>
      <c r="I17" s="49">
        <f>-I7/I6</f>
        <v>0.8395532608485986</v>
      </c>
      <c r="J17" s="49">
        <f t="shared" ref="J17:L17" si="8">-J7/J6</f>
        <v>0.75900465102031434</v>
      </c>
      <c r="K17" s="49">
        <f t="shared" si="8"/>
        <v>0.75501193591040294</v>
      </c>
      <c r="L17" s="50">
        <f t="shared" si="8"/>
        <v>0.75492137232191436</v>
      </c>
      <c r="M17" s="69">
        <f t="shared" ref="M17" si="9">(L17-H17)*100</f>
        <v>-11.073995217157906</v>
      </c>
      <c r="N17" s="13"/>
      <c r="O17" s="49">
        <f t="shared" ref="O17:S17" si="10">-O7/O6</f>
        <v>0.85844066297877264</v>
      </c>
      <c r="P17" s="49">
        <f t="shared" si="10"/>
        <v>0.92611122297775228</v>
      </c>
      <c r="Q17" s="49">
        <f t="shared" si="10"/>
        <v>0.81303995886512548</v>
      </c>
      <c r="R17" s="49">
        <f t="shared" si="10"/>
        <v>0.76288132675893772</v>
      </c>
      <c r="S17" s="49">
        <f t="shared" si="10"/>
        <v>0.75900465102031434</v>
      </c>
      <c r="T17" s="49">
        <f t="shared" ref="T17:U17" si="11">-T7/T6</f>
        <v>0.75103487556066351</v>
      </c>
      <c r="U17" s="50">
        <f t="shared" si="11"/>
        <v>0.7547450077035931</v>
      </c>
    </row>
    <row r="18" spans="4:21" s="10" customFormat="1" ht="15" thickBot="1" x14ac:dyDescent="0.3">
      <c r="D18" s="48" t="s">
        <v>61</v>
      </c>
      <c r="E18" s="49">
        <f>-E8/E6</f>
        <v>0.20811617911256344</v>
      </c>
      <c r="F18" s="49">
        <f>-F8/F6</f>
        <v>0.21004152828291867</v>
      </c>
      <c r="G18" s="49">
        <f>-G8/G6</f>
        <v>0.19920036280800887</v>
      </c>
      <c r="H18" s="49">
        <f>-H8/H6</f>
        <v>0.2004806059634443</v>
      </c>
      <c r="I18" s="49">
        <f>-I8/I6</f>
        <v>0.20533540799989713</v>
      </c>
      <c r="J18" s="49">
        <f t="shared" ref="J18:L18" si="12">-J8/J6</f>
        <v>0.20553323360783374</v>
      </c>
      <c r="K18" s="49">
        <f t="shared" si="12"/>
        <v>0.20131562521496105</v>
      </c>
      <c r="L18" s="50">
        <f t="shared" si="12"/>
        <v>0.19964335246015771</v>
      </c>
      <c r="M18" s="69">
        <f>(L18-H18)*100</f>
        <v>-8.372535032865891E-2</v>
      </c>
      <c r="N18" s="13"/>
      <c r="O18" s="49">
        <f t="shared" ref="O18:S18" si="13">-O8/O6</f>
        <v>0.21004152828291867</v>
      </c>
      <c r="P18" s="49">
        <f t="shared" si="13"/>
        <v>0.18856585244962129</v>
      </c>
      <c r="Q18" s="49">
        <f t="shared" si="13"/>
        <v>0.20298126021371807</v>
      </c>
      <c r="R18" s="49">
        <f t="shared" si="13"/>
        <v>0.21959257646784858</v>
      </c>
      <c r="S18" s="49">
        <f t="shared" si="13"/>
        <v>0.20553323360783374</v>
      </c>
      <c r="T18" s="49">
        <f t="shared" ref="T18:U18" si="14">-T8/T6</f>
        <v>0.19711455335075925</v>
      </c>
      <c r="U18" s="50">
        <f t="shared" si="14"/>
        <v>0.19638674844244991</v>
      </c>
    </row>
    <row r="19" spans="4:21" s="10" customFormat="1" ht="15" thickBot="1" x14ac:dyDescent="0.3">
      <c r="D19" s="42" t="s">
        <v>55</v>
      </c>
      <c r="E19" s="51">
        <f>-(E7+E8)/E6</f>
        <v>0.94999156833038334</v>
      </c>
      <c r="F19" s="51">
        <f>-(F7+F8)/F6</f>
        <v>1.0684821912616913</v>
      </c>
      <c r="G19" s="51">
        <f>-(G7+G8)/G6</f>
        <v>1.0918018943165291</v>
      </c>
      <c r="H19" s="51">
        <f>-(H7+H8)/H6</f>
        <v>1.0661419304569377</v>
      </c>
      <c r="I19" s="51">
        <f>-(I7+I8)/I6</f>
        <v>1.0448886688484957</v>
      </c>
      <c r="J19" s="51">
        <f t="shared" ref="J19:L19" si="15">-(J7+J8)/J6</f>
        <v>0.96453788462814816</v>
      </c>
      <c r="K19" s="51">
        <f t="shared" si="15"/>
        <v>0.95632756112536399</v>
      </c>
      <c r="L19" s="52">
        <f t="shared" si="15"/>
        <v>0.9545647247820721</v>
      </c>
      <c r="M19" s="83">
        <f t="shared" ref="M19" si="16">(L19-H19)*100</f>
        <v>-11.157720567486562</v>
      </c>
      <c r="N19" s="13"/>
      <c r="O19" s="51">
        <f t="shared" ref="O19:S19" si="17">-(O7+O8)/O6</f>
        <v>1.0684821912616913</v>
      </c>
      <c r="P19" s="51">
        <f t="shared" si="17"/>
        <v>1.1146770754273736</v>
      </c>
      <c r="Q19" s="51">
        <f t="shared" si="17"/>
        <v>1.0160212190788436</v>
      </c>
      <c r="R19" s="51">
        <f t="shared" si="17"/>
        <v>0.98247390322678629</v>
      </c>
      <c r="S19" s="51">
        <f t="shared" si="17"/>
        <v>0.96453788462814816</v>
      </c>
      <c r="T19" s="51">
        <f t="shared" ref="T19:U19" si="18">-(T7+T8)/T6</f>
        <v>0.94814942891142284</v>
      </c>
      <c r="U19" s="52">
        <f t="shared" si="18"/>
        <v>0.95113175614604306</v>
      </c>
    </row>
  </sheetData>
  <hyperlinks>
    <hyperlink ref="B2" location="'Financial Supplement&gt;&gt;&gt;'!A1" display="ÍNDICE" xr:uid="{30099EFA-878C-4434-B074-5C050D672D47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customWidth="1" collapsed="1"/>
    <col min="9" max="9" width="11" style="73" customWidth="1"/>
    <col min="10" max="11" width="11" style="73" hidden="1" customWidth="1" outlineLevel="1"/>
    <col min="12" max="12" width="11" style="73" customWidth="1" collapsed="1"/>
    <col min="13" max="13" width="11" style="73" customWidth="1"/>
    <col min="14" max="14" width="3" style="13" customWidth="1"/>
    <col min="15" max="16384" width="10.85546875" style="73"/>
  </cols>
  <sheetData>
    <row r="1" spans="2:21" ht="16.5" customHeight="1" x14ac:dyDescent="0.2"/>
    <row r="2" spans="2:21" ht="18.75" customHeight="1" thickBot="1" x14ac:dyDescent="0.25">
      <c r="B2" s="11" t="s">
        <v>32</v>
      </c>
      <c r="D2" s="14" t="s">
        <v>49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44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215</v>
      </c>
      <c r="L4" s="74" t="s">
        <v>219</v>
      </c>
      <c r="M4" s="75" t="s">
        <v>0</v>
      </c>
      <c r="N4" s="13"/>
      <c r="O4" s="47" t="s">
        <v>62</v>
      </c>
      <c r="P4" s="47" t="s">
        <v>63</v>
      </c>
      <c r="Q4" s="47" t="s">
        <v>64</v>
      </c>
      <c r="R4" s="47" t="s">
        <v>65</v>
      </c>
      <c r="S4" s="47" t="s">
        <v>191</v>
      </c>
      <c r="T4" s="47" t="s">
        <v>216</v>
      </c>
      <c r="U4" s="74" t="s">
        <v>220</v>
      </c>
    </row>
    <row r="5" spans="2:21" s="10" customFormat="1" x14ac:dyDescent="0.25">
      <c r="D5" s="33" t="s">
        <v>54</v>
      </c>
      <c r="E5" s="76">
        <v>143713</v>
      </c>
      <c r="F5" s="76">
        <v>37607</v>
      </c>
      <c r="G5" s="76">
        <v>75283</v>
      </c>
      <c r="H5" s="76">
        <v>111604</v>
      </c>
      <c r="I5" s="76">
        <v>149430</v>
      </c>
      <c r="J5" s="76">
        <v>39270</v>
      </c>
      <c r="K5" s="76">
        <v>78628</v>
      </c>
      <c r="L5" s="77">
        <v>117010.78094000001</v>
      </c>
      <c r="M5" s="78">
        <f>+L5/H5-1</f>
        <v>4.8446121465180569E-2</v>
      </c>
      <c r="N5" s="13"/>
      <c r="O5" s="76">
        <f>F5</f>
        <v>37607</v>
      </c>
      <c r="P5" s="76">
        <f t="shared" ref="P5:R10" si="0">G5-F5</f>
        <v>37676</v>
      </c>
      <c r="Q5" s="76">
        <f t="shared" si="0"/>
        <v>36321</v>
      </c>
      <c r="R5" s="76">
        <f t="shared" si="0"/>
        <v>37826</v>
      </c>
      <c r="S5" s="76">
        <f>J5</f>
        <v>39270</v>
      </c>
      <c r="T5" s="76">
        <f t="shared" ref="T5:U10" si="1">K5-J5</f>
        <v>39358</v>
      </c>
      <c r="U5" s="77">
        <f t="shared" si="1"/>
        <v>38382.780940000011</v>
      </c>
    </row>
    <row r="6" spans="2:21" s="10" customFormat="1" x14ac:dyDescent="0.25">
      <c r="D6" s="33" t="s">
        <v>57</v>
      </c>
      <c r="E6" s="76">
        <v>129800</v>
      </c>
      <c r="F6" s="76">
        <v>34434</v>
      </c>
      <c r="G6" s="76">
        <v>69842</v>
      </c>
      <c r="H6" s="76">
        <v>105756</v>
      </c>
      <c r="I6" s="76">
        <v>141956</v>
      </c>
      <c r="J6" s="76">
        <v>35991</v>
      </c>
      <c r="K6" s="76">
        <v>72860</v>
      </c>
      <c r="L6" s="77">
        <v>110641.99560999995</v>
      </c>
      <c r="M6" s="78">
        <f t="shared" ref="M6:M11" si="2">+L6/H6-1</f>
        <v>4.6200646866371153E-2</v>
      </c>
      <c r="N6" s="13"/>
      <c r="O6" s="76">
        <f t="shared" ref="O6:O10" si="3">F6</f>
        <v>34434</v>
      </c>
      <c r="P6" s="76">
        <f t="shared" si="0"/>
        <v>35408</v>
      </c>
      <c r="Q6" s="76">
        <f t="shared" si="0"/>
        <v>35914</v>
      </c>
      <c r="R6" s="76">
        <f t="shared" si="0"/>
        <v>36200</v>
      </c>
      <c r="S6" s="76">
        <f t="shared" ref="S6:S10" si="4">J6</f>
        <v>35991</v>
      </c>
      <c r="T6" s="76">
        <f t="shared" si="1"/>
        <v>36869</v>
      </c>
      <c r="U6" s="77">
        <f t="shared" si="1"/>
        <v>37781.995609999954</v>
      </c>
    </row>
    <row r="7" spans="2:21" s="10" customFormat="1" x14ac:dyDescent="0.25">
      <c r="D7" s="48" t="s">
        <v>58</v>
      </c>
      <c r="E7" s="56">
        <v>-80002</v>
      </c>
      <c r="F7" s="56">
        <v>-25797</v>
      </c>
      <c r="G7" s="56">
        <v>-45860</v>
      </c>
      <c r="H7" s="56">
        <v>-71056</v>
      </c>
      <c r="I7" s="56">
        <v>-94121</v>
      </c>
      <c r="J7" s="56">
        <v>-24877</v>
      </c>
      <c r="K7" s="56">
        <v>-43958</v>
      </c>
      <c r="L7" s="57">
        <v>-67900.998515756481</v>
      </c>
      <c r="M7" s="79">
        <f t="shared" si="2"/>
        <v>-4.4401619627385758E-2</v>
      </c>
      <c r="O7" s="56">
        <f t="shared" si="3"/>
        <v>-25797</v>
      </c>
      <c r="P7" s="56">
        <f t="shared" si="0"/>
        <v>-20063</v>
      </c>
      <c r="Q7" s="56">
        <f t="shared" si="0"/>
        <v>-25196</v>
      </c>
      <c r="R7" s="56">
        <f t="shared" si="0"/>
        <v>-23065</v>
      </c>
      <c r="S7" s="56">
        <f t="shared" si="4"/>
        <v>-24877</v>
      </c>
      <c r="T7" s="56">
        <f t="shared" si="1"/>
        <v>-19081</v>
      </c>
      <c r="U7" s="57">
        <f t="shared" si="1"/>
        <v>-23942.998515756481</v>
      </c>
    </row>
    <row r="8" spans="2:21" s="10" customFormat="1" x14ac:dyDescent="0.25">
      <c r="D8" s="48" t="s">
        <v>59</v>
      </c>
      <c r="E8" s="56">
        <f t="shared" ref="E8:I8" si="5">SUM(E9:E10)</f>
        <v>-42224</v>
      </c>
      <c r="F8" s="56">
        <f t="shared" si="5"/>
        <v>-9153</v>
      </c>
      <c r="G8" s="56">
        <f t="shared" si="5"/>
        <v>-20863</v>
      </c>
      <c r="H8" s="56">
        <f t="shared" si="5"/>
        <v>-31305</v>
      </c>
      <c r="I8" s="56">
        <f t="shared" si="5"/>
        <v>-41833</v>
      </c>
      <c r="J8" s="56">
        <f>SUM(J9:J10)</f>
        <v>-9895</v>
      </c>
      <c r="K8" s="56">
        <f>SUM(K9:K10)</f>
        <v>-20709</v>
      </c>
      <c r="L8" s="57">
        <f>SUM(L9:L10)</f>
        <v>-31434.624727414001</v>
      </c>
      <c r="M8" s="79">
        <f t="shared" si="2"/>
        <v>4.140703638843668E-3</v>
      </c>
      <c r="O8" s="56">
        <f t="shared" si="3"/>
        <v>-9153</v>
      </c>
      <c r="P8" s="56">
        <f t="shared" si="0"/>
        <v>-11710</v>
      </c>
      <c r="Q8" s="56">
        <f t="shared" si="0"/>
        <v>-10442</v>
      </c>
      <c r="R8" s="56">
        <f t="shared" si="0"/>
        <v>-10528</v>
      </c>
      <c r="S8" s="56">
        <f t="shared" si="4"/>
        <v>-9895</v>
      </c>
      <c r="T8" s="56">
        <f t="shared" si="1"/>
        <v>-10814</v>
      </c>
      <c r="U8" s="57">
        <f t="shared" si="1"/>
        <v>-10725.624727414001</v>
      </c>
    </row>
    <row r="9" spans="2:21" s="10" customFormat="1" x14ac:dyDescent="0.25">
      <c r="D9" s="170" t="s">
        <v>180</v>
      </c>
      <c r="E9" s="56">
        <v>-36113</v>
      </c>
      <c r="F9" s="56">
        <v>-7643</v>
      </c>
      <c r="G9" s="56">
        <v>-17876</v>
      </c>
      <c r="H9" s="56">
        <v>-26872</v>
      </c>
      <c r="I9" s="56">
        <v>-35958</v>
      </c>
      <c r="J9" s="56">
        <v>-8451</v>
      </c>
      <c r="K9" s="56">
        <v>-17590</v>
      </c>
      <c r="L9" s="57">
        <v>-26865.183004348</v>
      </c>
      <c r="M9" s="79">
        <f t="shared" si="2"/>
        <v>-2.5368397037806023E-4</v>
      </c>
      <c r="O9" s="56">
        <f t="shared" si="3"/>
        <v>-7643</v>
      </c>
      <c r="P9" s="56">
        <f t="shared" si="0"/>
        <v>-10233</v>
      </c>
      <c r="Q9" s="56">
        <f t="shared" si="0"/>
        <v>-8996</v>
      </c>
      <c r="R9" s="56">
        <f t="shared" si="0"/>
        <v>-9086</v>
      </c>
      <c r="S9" s="56">
        <f t="shared" si="4"/>
        <v>-8451</v>
      </c>
      <c r="T9" s="56">
        <f t="shared" si="1"/>
        <v>-9139</v>
      </c>
      <c r="U9" s="57">
        <f t="shared" si="1"/>
        <v>-9275.1830043480004</v>
      </c>
    </row>
    <row r="10" spans="2:21" s="10" customFormat="1" ht="15" thickBot="1" x14ac:dyDescent="0.3">
      <c r="D10" s="170" t="s">
        <v>217</v>
      </c>
      <c r="E10" s="56">
        <v>-6111</v>
      </c>
      <c r="F10" s="56">
        <v>-1510</v>
      </c>
      <c r="G10" s="56">
        <v>-2987</v>
      </c>
      <c r="H10" s="56">
        <v>-4433</v>
      </c>
      <c r="I10" s="56">
        <v>-5875</v>
      </c>
      <c r="J10" s="56">
        <v>-1444</v>
      </c>
      <c r="K10" s="56">
        <v>-3119</v>
      </c>
      <c r="L10" s="57">
        <v>-4569.4417230660001</v>
      </c>
      <c r="M10" s="79">
        <f t="shared" si="2"/>
        <v>3.0778642694789138E-2</v>
      </c>
      <c r="O10" s="56">
        <f t="shared" si="3"/>
        <v>-1510</v>
      </c>
      <c r="P10" s="56">
        <f t="shared" si="0"/>
        <v>-1477</v>
      </c>
      <c r="Q10" s="56">
        <f t="shared" si="0"/>
        <v>-1446</v>
      </c>
      <c r="R10" s="56">
        <f t="shared" si="0"/>
        <v>-1442</v>
      </c>
      <c r="S10" s="56">
        <f t="shared" si="4"/>
        <v>-1444</v>
      </c>
      <c r="T10" s="56">
        <f t="shared" si="1"/>
        <v>-1675</v>
      </c>
      <c r="U10" s="57">
        <f t="shared" si="1"/>
        <v>-1450.4417230660001</v>
      </c>
    </row>
    <row r="11" spans="2:21" s="10" customFormat="1" ht="15" thickBot="1" x14ac:dyDescent="0.3">
      <c r="D11" s="42" t="s">
        <v>56</v>
      </c>
      <c r="E11" s="59">
        <f t="shared" ref="E11:L11" si="6">SUM(E6,E7,E8)</f>
        <v>7574</v>
      </c>
      <c r="F11" s="59">
        <f t="shared" si="6"/>
        <v>-516</v>
      </c>
      <c r="G11" s="59">
        <f t="shared" si="6"/>
        <v>3119</v>
      </c>
      <c r="H11" s="59">
        <f t="shared" si="6"/>
        <v>3395</v>
      </c>
      <c r="I11" s="59">
        <f t="shared" si="6"/>
        <v>6002</v>
      </c>
      <c r="J11" s="59">
        <f t="shared" si="6"/>
        <v>1219</v>
      </c>
      <c r="K11" s="59">
        <f t="shared" si="6"/>
        <v>8193</v>
      </c>
      <c r="L11" s="60">
        <f t="shared" si="6"/>
        <v>11306.372366829473</v>
      </c>
      <c r="M11" s="80">
        <f t="shared" si="2"/>
        <v>2.3303011389777537</v>
      </c>
      <c r="N11" s="13"/>
      <c r="O11" s="59">
        <f>SUM(O6,O7,O8)</f>
        <v>-516</v>
      </c>
      <c r="P11" s="59">
        <f>SUM(P6,P7,P8)</f>
        <v>3635</v>
      </c>
      <c r="Q11" s="59">
        <f>SUM(Q6,Q7,Q8)</f>
        <v>276</v>
      </c>
      <c r="R11" s="59">
        <f>SUM(R6,R7,R8)</f>
        <v>2607</v>
      </c>
      <c r="S11" s="59">
        <f>SUM(S6,S7,S8)</f>
        <v>1219</v>
      </c>
      <c r="T11" s="59">
        <f t="shared" ref="T11:U11" si="7">SUM(T6,T7,T8)</f>
        <v>6974</v>
      </c>
      <c r="U11" s="60">
        <f t="shared" si="7"/>
        <v>3113.3723668294733</v>
      </c>
    </row>
    <row r="12" spans="2:21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9"/>
      <c r="M12" s="49"/>
      <c r="N12" s="13"/>
    </row>
    <row r="13" spans="2:21" s="10" customFormat="1" x14ac:dyDescent="0.25">
      <c r="D13" s="19"/>
      <c r="E13" s="81"/>
      <c r="F13" s="81"/>
      <c r="G13" s="81"/>
      <c r="H13" s="81"/>
      <c r="I13" s="81"/>
      <c r="J13" s="81"/>
      <c r="K13" s="81"/>
      <c r="L13" s="27"/>
      <c r="M13" s="27" t="s">
        <v>46</v>
      </c>
      <c r="N13" s="13"/>
      <c r="R13" s="27"/>
      <c r="S13" s="27"/>
      <c r="T13" s="27"/>
      <c r="U13" s="27" t="s">
        <v>46</v>
      </c>
    </row>
    <row r="14" spans="2:21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13"/>
    </row>
    <row r="15" spans="2:21" s="10" customFormat="1" x14ac:dyDescent="0.25">
      <c r="D15" s="33"/>
      <c r="E15" s="45"/>
      <c r="F15" s="45"/>
      <c r="G15" s="45"/>
      <c r="H15" s="45"/>
      <c r="I15" s="45"/>
      <c r="J15" s="45"/>
      <c r="K15" s="45"/>
      <c r="L15" s="49"/>
      <c r="M15" s="49"/>
      <c r="N15" s="13"/>
    </row>
    <row r="16" spans="2:21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215</v>
      </c>
      <c r="L16" s="74" t="s">
        <v>219</v>
      </c>
      <c r="M16" s="82" t="s">
        <v>2</v>
      </c>
      <c r="N16" s="13"/>
      <c r="O16" s="47" t="s">
        <v>62</v>
      </c>
      <c r="P16" s="47" t="s">
        <v>63</v>
      </c>
      <c r="Q16" s="47" t="s">
        <v>64</v>
      </c>
      <c r="R16" s="47" t="s">
        <v>65</v>
      </c>
      <c r="S16" s="47" t="s">
        <v>191</v>
      </c>
      <c r="T16" s="47" t="s">
        <v>216</v>
      </c>
      <c r="U16" s="74" t="s">
        <v>220</v>
      </c>
    </row>
    <row r="17" spans="4:21" s="10" customFormat="1" x14ac:dyDescent="0.25">
      <c r="D17" s="48" t="s">
        <v>60</v>
      </c>
      <c r="E17" s="49">
        <f>-E7/E6</f>
        <v>0.61634822804314326</v>
      </c>
      <c r="F17" s="49">
        <f>-F7/F6</f>
        <v>0.74917232967415925</v>
      </c>
      <c r="G17" s="49">
        <f>-G7/G6</f>
        <v>0.6566249534663956</v>
      </c>
      <c r="H17" s="49">
        <f>-H7/H6</f>
        <v>0.67188622867733272</v>
      </c>
      <c r="I17" s="49">
        <f>-I7/I6</f>
        <v>0.66302938938826117</v>
      </c>
      <c r="J17" s="49">
        <f t="shared" ref="J17:L17" si="8">-J7/J6</f>
        <v>0.69120057792225831</v>
      </c>
      <c r="K17" s="49">
        <f t="shared" si="8"/>
        <v>0.60332143837496566</v>
      </c>
      <c r="L17" s="50">
        <f t="shared" si="8"/>
        <v>0.61370005251079829</v>
      </c>
      <c r="M17" s="69">
        <f>(L17-H17)*100</f>
        <v>-5.8186176166534427</v>
      </c>
      <c r="N17" s="13"/>
      <c r="O17" s="49">
        <f t="shared" ref="O17:S17" si="9">-O7/O6</f>
        <v>0.74917232967415925</v>
      </c>
      <c r="P17" s="49">
        <f t="shared" si="9"/>
        <v>0.56662336195210117</v>
      </c>
      <c r="Q17" s="49">
        <f t="shared" si="9"/>
        <v>0.70156484936236563</v>
      </c>
      <c r="R17" s="49">
        <f t="shared" si="9"/>
        <v>0.63715469613259668</v>
      </c>
      <c r="S17" s="49">
        <f t="shared" si="9"/>
        <v>0.69120057792225831</v>
      </c>
      <c r="T17" s="49">
        <f t="shared" ref="T17:U17" si="10">-T7/T6</f>
        <v>0.5175350565515745</v>
      </c>
      <c r="U17" s="50">
        <f t="shared" si="10"/>
        <v>0.63371450155532183</v>
      </c>
    </row>
    <row r="18" spans="4:21" s="10" customFormat="1" ht="15" thickBot="1" x14ac:dyDescent="0.3">
      <c r="D18" s="48" t="s">
        <v>61</v>
      </c>
      <c r="E18" s="49">
        <f>-E8/E6</f>
        <v>0.32530046224961479</v>
      </c>
      <c r="F18" s="49">
        <f>-F8/F6</f>
        <v>0.26581285938316779</v>
      </c>
      <c r="G18" s="49">
        <f>-G8/G6</f>
        <v>0.29871710432118209</v>
      </c>
      <c r="H18" s="49">
        <f>-H8/H6</f>
        <v>0.29601157381141496</v>
      </c>
      <c r="I18" s="49">
        <f>-I8/I6</f>
        <v>0.29468990391388883</v>
      </c>
      <c r="J18" s="49">
        <f t="shared" ref="J18:L18" si="11">-J8/J6</f>
        <v>0.27492984357200412</v>
      </c>
      <c r="K18" s="49">
        <f t="shared" si="11"/>
        <v>0.28423003019489435</v>
      </c>
      <c r="L18" s="50">
        <f t="shared" si="11"/>
        <v>0.28411115105169799</v>
      </c>
      <c r="M18" s="69">
        <f t="shared" ref="M18:M19" si="12">(L18-H18)*100</f>
        <v>-1.1900422759716978</v>
      </c>
      <c r="N18" s="13"/>
      <c r="O18" s="49">
        <f t="shared" ref="O18:S18" si="13">-O8/O6</f>
        <v>0.26581285938316779</v>
      </c>
      <c r="P18" s="49">
        <f t="shared" si="13"/>
        <v>0.33071622232263898</v>
      </c>
      <c r="Q18" s="49">
        <f t="shared" si="13"/>
        <v>0.29075012529932615</v>
      </c>
      <c r="R18" s="49">
        <f t="shared" si="13"/>
        <v>0.29082872928176795</v>
      </c>
      <c r="S18" s="49">
        <f t="shared" si="13"/>
        <v>0.27492984357200412</v>
      </c>
      <c r="T18" s="49">
        <f t="shared" ref="T18:U18" si="14">-T8/T6</f>
        <v>0.29330874176137134</v>
      </c>
      <c r="U18" s="50">
        <f t="shared" si="14"/>
        <v>0.2838819007372706</v>
      </c>
    </row>
    <row r="19" spans="4:21" s="10" customFormat="1" ht="15" thickBot="1" x14ac:dyDescent="0.3">
      <c r="D19" s="42" t="s">
        <v>55</v>
      </c>
      <c r="E19" s="51">
        <f>-(E7+E8)/E6</f>
        <v>0.94164869029275811</v>
      </c>
      <c r="F19" s="51">
        <f>-(F7+F8)/F6</f>
        <v>1.0149851890573272</v>
      </c>
      <c r="G19" s="51">
        <f>-(G7+G8)/G6</f>
        <v>0.95534205778757764</v>
      </c>
      <c r="H19" s="51">
        <f>-(H7+H8)/H6</f>
        <v>0.96789780248874768</v>
      </c>
      <c r="I19" s="51">
        <f>-(I7+I8)/I6</f>
        <v>0.95771929330215</v>
      </c>
      <c r="J19" s="51">
        <f t="shared" ref="J19:L19" si="15">-(J7+J8)/J6</f>
        <v>0.96613042149426243</v>
      </c>
      <c r="K19" s="51">
        <f t="shared" si="15"/>
        <v>0.88755146856986</v>
      </c>
      <c r="L19" s="52">
        <f t="shared" si="15"/>
        <v>0.89781120356249622</v>
      </c>
      <c r="M19" s="83">
        <f t="shared" si="12"/>
        <v>-7.0086598926251469</v>
      </c>
      <c r="N19" s="13"/>
      <c r="O19" s="51">
        <f t="shared" ref="O19:S19" si="16">-(O7+O8)/O6</f>
        <v>1.0149851890573272</v>
      </c>
      <c r="P19" s="51">
        <f t="shared" si="16"/>
        <v>0.89733958427474014</v>
      </c>
      <c r="Q19" s="51">
        <f t="shared" si="16"/>
        <v>0.99231497466169183</v>
      </c>
      <c r="R19" s="51">
        <f t="shared" si="16"/>
        <v>0.92798342541436463</v>
      </c>
      <c r="S19" s="51">
        <f t="shared" si="16"/>
        <v>0.96613042149426243</v>
      </c>
      <c r="T19" s="51">
        <f t="shared" ref="T19:U19" si="17">-(T7+T8)/T6</f>
        <v>0.81084379831294584</v>
      </c>
      <c r="U19" s="52">
        <f t="shared" si="17"/>
        <v>0.91759640229259254</v>
      </c>
    </row>
  </sheetData>
  <hyperlinks>
    <hyperlink ref="B2" location="'Financial Supplement&gt;&gt;&gt;'!A1" display="ÍNDICE" xr:uid="{285A7473-B983-4AD4-A969-2636AA1047FE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customWidth="1" collapsed="1"/>
    <col min="9" max="9" width="11" style="73" customWidth="1"/>
    <col min="10" max="11" width="11" style="73" hidden="1" customWidth="1" outlineLevel="1"/>
    <col min="12" max="12" width="11" style="73" customWidth="1" collapsed="1"/>
    <col min="13" max="13" width="11" style="73" customWidth="1"/>
    <col min="14" max="14" width="3" style="13" customWidth="1"/>
    <col min="15" max="16384" width="10.85546875" style="73"/>
  </cols>
  <sheetData>
    <row r="1" spans="2:21" ht="16.5" customHeight="1" x14ac:dyDescent="0.2"/>
    <row r="2" spans="2:21" ht="18.75" customHeight="1" thickBot="1" x14ac:dyDescent="0.25">
      <c r="B2" s="11" t="s">
        <v>32</v>
      </c>
      <c r="D2" s="14" t="s">
        <v>50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44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215</v>
      </c>
      <c r="L4" s="74" t="s">
        <v>219</v>
      </c>
      <c r="M4" s="75" t="s">
        <v>0</v>
      </c>
      <c r="N4" s="13"/>
      <c r="O4" s="47" t="s">
        <v>62</v>
      </c>
      <c r="P4" s="47" t="s">
        <v>63</v>
      </c>
      <c r="Q4" s="47" t="s">
        <v>64</v>
      </c>
      <c r="R4" s="47" t="s">
        <v>65</v>
      </c>
      <c r="S4" s="47" t="s">
        <v>191</v>
      </c>
      <c r="T4" s="47" t="s">
        <v>216</v>
      </c>
      <c r="U4" s="74" t="s">
        <v>220</v>
      </c>
    </row>
    <row r="5" spans="2:21" s="10" customFormat="1" x14ac:dyDescent="0.25">
      <c r="D5" s="33" t="s">
        <v>54</v>
      </c>
      <c r="E5" s="76">
        <v>29082</v>
      </c>
      <c r="F5" s="76">
        <v>14335</v>
      </c>
      <c r="G5" s="76">
        <v>19803</v>
      </c>
      <c r="H5" s="76">
        <v>24335</v>
      </c>
      <c r="I5" s="76">
        <v>30384</v>
      </c>
      <c r="J5" s="76">
        <v>15579</v>
      </c>
      <c r="K5" s="76">
        <v>21656</v>
      </c>
      <c r="L5" s="77">
        <v>26772.181279999993</v>
      </c>
      <c r="M5" s="78">
        <f t="shared" ref="M5:M10" si="0">+L5/H5-1</f>
        <v>0.10015127511814237</v>
      </c>
      <c r="N5" s="13"/>
      <c r="O5" s="76">
        <f>F5</f>
        <v>14335</v>
      </c>
      <c r="P5" s="76">
        <f t="shared" ref="P5:R10" si="1">G5-F5</f>
        <v>5468</v>
      </c>
      <c r="Q5" s="76">
        <f t="shared" si="1"/>
        <v>4532</v>
      </c>
      <c r="R5" s="76">
        <f t="shared" si="1"/>
        <v>6049</v>
      </c>
      <c r="S5" s="76">
        <f>J5</f>
        <v>15579</v>
      </c>
      <c r="T5" s="76">
        <f t="shared" ref="T5:U10" si="2">K5-J5</f>
        <v>6077</v>
      </c>
      <c r="U5" s="77">
        <f>L5-K5</f>
        <v>5116.1812799999934</v>
      </c>
    </row>
    <row r="6" spans="2:21" s="10" customFormat="1" x14ac:dyDescent="0.25">
      <c r="D6" s="33" t="s">
        <v>57</v>
      </c>
      <c r="E6" s="76">
        <v>15601</v>
      </c>
      <c r="F6" s="76">
        <v>4004</v>
      </c>
      <c r="G6" s="76">
        <v>8064</v>
      </c>
      <c r="H6" s="76">
        <v>12204</v>
      </c>
      <c r="I6" s="76">
        <v>16413</v>
      </c>
      <c r="J6" s="76">
        <v>4320</v>
      </c>
      <c r="K6" s="76">
        <v>8729</v>
      </c>
      <c r="L6" s="77">
        <v>13270.225169999998</v>
      </c>
      <c r="M6" s="78">
        <f t="shared" si="0"/>
        <v>8.7366860865289997E-2</v>
      </c>
      <c r="N6" s="13"/>
      <c r="O6" s="76">
        <f t="shared" ref="O6:O10" si="3">F6</f>
        <v>4004</v>
      </c>
      <c r="P6" s="76">
        <f t="shared" si="1"/>
        <v>4060</v>
      </c>
      <c r="Q6" s="76">
        <f t="shared" si="1"/>
        <v>4140</v>
      </c>
      <c r="R6" s="76">
        <f t="shared" si="1"/>
        <v>4209</v>
      </c>
      <c r="S6" s="76">
        <f t="shared" ref="S6:S10" si="4">J6</f>
        <v>4320</v>
      </c>
      <c r="T6" s="76">
        <f t="shared" si="2"/>
        <v>4409</v>
      </c>
      <c r="U6" s="77">
        <f t="shared" si="2"/>
        <v>4541.2251699999979</v>
      </c>
    </row>
    <row r="7" spans="2:21" s="10" customFormat="1" x14ac:dyDescent="0.25">
      <c r="D7" s="48" t="s">
        <v>58</v>
      </c>
      <c r="E7" s="56">
        <v>-14494</v>
      </c>
      <c r="F7" s="56">
        <v>-3646</v>
      </c>
      <c r="G7" s="56">
        <v>-7523</v>
      </c>
      <c r="H7" s="56">
        <v>-10683</v>
      </c>
      <c r="I7" s="56">
        <v>-13299</v>
      </c>
      <c r="J7" s="56">
        <v>-3844</v>
      </c>
      <c r="K7" s="56">
        <v>-7592</v>
      </c>
      <c r="L7" s="57">
        <v>-10902.676203162495</v>
      </c>
      <c r="M7" s="79">
        <f t="shared" si="0"/>
        <v>2.0563156712767539E-2</v>
      </c>
      <c r="O7" s="56">
        <f t="shared" si="3"/>
        <v>-3646</v>
      </c>
      <c r="P7" s="56">
        <f t="shared" si="1"/>
        <v>-3877</v>
      </c>
      <c r="Q7" s="56">
        <f t="shared" si="1"/>
        <v>-3160</v>
      </c>
      <c r="R7" s="56">
        <f t="shared" si="1"/>
        <v>-2616</v>
      </c>
      <c r="S7" s="56">
        <f t="shared" si="4"/>
        <v>-3844</v>
      </c>
      <c r="T7" s="56">
        <f t="shared" si="2"/>
        <v>-3748</v>
      </c>
      <c r="U7" s="57">
        <f t="shared" si="2"/>
        <v>-3310.6762031624949</v>
      </c>
    </row>
    <row r="8" spans="2:21" s="10" customFormat="1" x14ac:dyDescent="0.25">
      <c r="D8" s="48" t="s">
        <v>59</v>
      </c>
      <c r="E8" s="56">
        <f t="shared" ref="E8:I8" si="5">SUM(E9:E10)</f>
        <v>-9565</v>
      </c>
      <c r="F8" s="56">
        <f t="shared" si="5"/>
        <v>-2562</v>
      </c>
      <c r="G8" s="56">
        <f t="shared" si="5"/>
        <v>-5148</v>
      </c>
      <c r="H8" s="56">
        <f t="shared" si="5"/>
        <v>-8521</v>
      </c>
      <c r="I8" s="56">
        <f t="shared" si="5"/>
        <v>-12672</v>
      </c>
      <c r="J8" s="56">
        <f>SUM(J9:J10)</f>
        <v>-2271</v>
      </c>
      <c r="K8" s="56">
        <f>SUM(K9:K10)</f>
        <v>-4818</v>
      </c>
      <c r="L8" s="57">
        <f>SUM(L9:L10)</f>
        <v>-7737.5234154010004</v>
      </c>
      <c r="M8" s="79">
        <f t="shared" si="0"/>
        <v>-9.1946553761178218E-2</v>
      </c>
      <c r="N8" s="13"/>
      <c r="O8" s="56">
        <f t="shared" si="3"/>
        <v>-2562</v>
      </c>
      <c r="P8" s="56">
        <f t="shared" si="1"/>
        <v>-2586</v>
      </c>
      <c r="Q8" s="56">
        <f t="shared" si="1"/>
        <v>-3373</v>
      </c>
      <c r="R8" s="56">
        <f t="shared" si="1"/>
        <v>-4151</v>
      </c>
      <c r="S8" s="56">
        <f t="shared" si="4"/>
        <v>-2271</v>
      </c>
      <c r="T8" s="56">
        <f t="shared" si="2"/>
        <v>-2547</v>
      </c>
      <c r="U8" s="57">
        <f t="shared" si="2"/>
        <v>-2919.5234154010004</v>
      </c>
    </row>
    <row r="9" spans="2:21" s="10" customFormat="1" x14ac:dyDescent="0.25">
      <c r="D9" s="170" t="s">
        <v>180</v>
      </c>
      <c r="E9" s="56">
        <v>-12469</v>
      </c>
      <c r="F9" s="56">
        <v>-2398</v>
      </c>
      <c r="G9" s="56">
        <v>-4801</v>
      </c>
      <c r="H9" s="56">
        <v>-7993</v>
      </c>
      <c r="I9" s="56">
        <v>-11948</v>
      </c>
      <c r="J9" s="56">
        <v>-2128</v>
      </c>
      <c r="K9" s="56">
        <v>-4541</v>
      </c>
      <c r="L9" s="57">
        <v>-7278.3041595150007</v>
      </c>
      <c r="M9" s="79">
        <f t="shared" si="0"/>
        <v>-8.9415218376704519E-2</v>
      </c>
      <c r="N9" s="13"/>
      <c r="O9" s="56">
        <f t="shared" si="3"/>
        <v>-2398</v>
      </c>
      <c r="P9" s="56">
        <f t="shared" si="1"/>
        <v>-2403</v>
      </c>
      <c r="Q9" s="56">
        <f t="shared" si="1"/>
        <v>-3192</v>
      </c>
      <c r="R9" s="56">
        <f t="shared" si="1"/>
        <v>-3955</v>
      </c>
      <c r="S9" s="56">
        <f t="shared" si="4"/>
        <v>-2128</v>
      </c>
      <c r="T9" s="56">
        <f t="shared" si="2"/>
        <v>-2413</v>
      </c>
      <c r="U9" s="57">
        <f t="shared" si="2"/>
        <v>-2737.3041595150007</v>
      </c>
    </row>
    <row r="10" spans="2:21" s="10" customFormat="1" ht="15" thickBot="1" x14ac:dyDescent="0.3">
      <c r="D10" s="170" t="s">
        <v>217</v>
      </c>
      <c r="E10" s="56">
        <v>2904</v>
      </c>
      <c r="F10" s="56">
        <v>-164</v>
      </c>
      <c r="G10" s="56">
        <v>-347</v>
      </c>
      <c r="H10" s="56">
        <v>-528</v>
      </c>
      <c r="I10" s="56">
        <v>-724</v>
      </c>
      <c r="J10" s="56">
        <v>-143</v>
      </c>
      <c r="K10" s="56">
        <v>-277</v>
      </c>
      <c r="L10" s="57">
        <v>-459.21925588599998</v>
      </c>
      <c r="M10" s="79">
        <f t="shared" si="0"/>
        <v>-0.13026656082196975</v>
      </c>
      <c r="N10" s="13"/>
      <c r="O10" s="56">
        <f t="shared" si="3"/>
        <v>-164</v>
      </c>
      <c r="P10" s="56">
        <f t="shared" si="1"/>
        <v>-183</v>
      </c>
      <c r="Q10" s="56">
        <f t="shared" si="1"/>
        <v>-181</v>
      </c>
      <c r="R10" s="56">
        <f t="shared" si="1"/>
        <v>-196</v>
      </c>
      <c r="S10" s="56">
        <f t="shared" si="4"/>
        <v>-143</v>
      </c>
      <c r="T10" s="56">
        <f t="shared" si="2"/>
        <v>-134</v>
      </c>
      <c r="U10" s="57">
        <f t="shared" si="2"/>
        <v>-182.21925588599998</v>
      </c>
    </row>
    <row r="11" spans="2:21" s="10" customFormat="1" ht="15" thickBot="1" x14ac:dyDescent="0.3">
      <c r="D11" s="42" t="s">
        <v>56</v>
      </c>
      <c r="E11" s="59">
        <f t="shared" ref="E11:L11" si="6">SUM(E6,E7,E8)</f>
        <v>-8458</v>
      </c>
      <c r="F11" s="59">
        <f t="shared" si="6"/>
        <v>-2204</v>
      </c>
      <c r="G11" s="59">
        <f t="shared" si="6"/>
        <v>-4607</v>
      </c>
      <c r="H11" s="59">
        <f t="shared" si="6"/>
        <v>-7000</v>
      </c>
      <c r="I11" s="59">
        <f t="shared" si="6"/>
        <v>-9558</v>
      </c>
      <c r="J11" s="59">
        <f t="shared" si="6"/>
        <v>-1795</v>
      </c>
      <c r="K11" s="59">
        <f t="shared" si="6"/>
        <v>-3681</v>
      </c>
      <c r="L11" s="60">
        <f t="shared" si="6"/>
        <v>-5369.9744485634974</v>
      </c>
      <c r="M11" s="80">
        <f>+L11/H11-1</f>
        <v>-0.23286079306235752</v>
      </c>
      <c r="N11" s="13"/>
      <c r="O11" s="59">
        <f t="shared" ref="O11:U11" si="7">SUM(O6,O7,O8)</f>
        <v>-2204</v>
      </c>
      <c r="P11" s="59">
        <f t="shared" si="7"/>
        <v>-2403</v>
      </c>
      <c r="Q11" s="59">
        <f t="shared" si="7"/>
        <v>-2393</v>
      </c>
      <c r="R11" s="59">
        <f t="shared" si="7"/>
        <v>-2558</v>
      </c>
      <c r="S11" s="59">
        <f t="shared" si="7"/>
        <v>-1795</v>
      </c>
      <c r="T11" s="59">
        <f t="shared" si="7"/>
        <v>-1886</v>
      </c>
      <c r="U11" s="60">
        <f t="shared" si="7"/>
        <v>-1688.9744485634974</v>
      </c>
    </row>
    <row r="12" spans="2:21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9"/>
      <c r="M12" s="49"/>
      <c r="N12" s="13"/>
    </row>
    <row r="13" spans="2:21" s="10" customFormat="1" x14ac:dyDescent="0.25">
      <c r="D13" s="19"/>
      <c r="E13" s="81"/>
      <c r="F13" s="81"/>
      <c r="G13" s="81"/>
      <c r="H13" s="81"/>
      <c r="I13" s="81"/>
      <c r="J13" s="81"/>
      <c r="K13" s="81"/>
      <c r="L13" s="27"/>
      <c r="M13" s="27" t="s">
        <v>46</v>
      </c>
      <c r="N13" s="13"/>
      <c r="R13" s="27"/>
      <c r="S13" s="27"/>
      <c r="T13" s="27"/>
      <c r="U13" s="27" t="s">
        <v>46</v>
      </c>
    </row>
    <row r="14" spans="2:21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13"/>
    </row>
    <row r="15" spans="2:21" s="10" customFormat="1" x14ac:dyDescent="0.25">
      <c r="D15" s="33"/>
      <c r="E15" s="45"/>
      <c r="F15" s="45"/>
      <c r="G15" s="45"/>
      <c r="H15" s="45"/>
      <c r="I15" s="45"/>
      <c r="J15" s="45"/>
      <c r="K15" s="45"/>
      <c r="L15" s="49"/>
      <c r="M15" s="49"/>
      <c r="N15" s="13"/>
    </row>
    <row r="16" spans="2:21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215</v>
      </c>
      <c r="L16" s="74" t="s">
        <v>219</v>
      </c>
      <c r="M16" s="82" t="s">
        <v>2</v>
      </c>
      <c r="N16" s="13"/>
      <c r="O16" s="47" t="s">
        <v>62</v>
      </c>
      <c r="P16" s="47" t="s">
        <v>63</v>
      </c>
      <c r="Q16" s="47" t="s">
        <v>64</v>
      </c>
      <c r="R16" s="47" t="s">
        <v>65</v>
      </c>
      <c r="S16" s="47" t="s">
        <v>191</v>
      </c>
      <c r="T16" s="47" t="s">
        <v>216</v>
      </c>
      <c r="U16" s="74" t="s">
        <v>220</v>
      </c>
    </row>
    <row r="17" spans="4:21" s="10" customFormat="1" x14ac:dyDescent="0.25">
      <c r="D17" s="48" t="s">
        <v>60</v>
      </c>
      <c r="E17" s="49">
        <f>-E7/E6</f>
        <v>0.92904301006345746</v>
      </c>
      <c r="F17" s="49">
        <f>-F7/F6</f>
        <v>0.91058941058941056</v>
      </c>
      <c r="G17" s="49">
        <f>-G7/G6</f>
        <v>0.93291170634920639</v>
      </c>
      <c r="H17" s="49">
        <f>-H7/H6</f>
        <v>0.87536873156342188</v>
      </c>
      <c r="I17" s="49">
        <f>-I7/I6</f>
        <v>0.81027234509230484</v>
      </c>
      <c r="J17" s="49">
        <f t="shared" ref="J17:L17" si="8">-J7/J6</f>
        <v>0.88981481481481484</v>
      </c>
      <c r="K17" s="49">
        <f t="shared" si="8"/>
        <v>0.86974452972849126</v>
      </c>
      <c r="L17" s="50">
        <f t="shared" si="8"/>
        <v>0.82158939004367293</v>
      </c>
      <c r="M17" s="69">
        <f>(L17-H17)*100</f>
        <v>-5.3779341519748947</v>
      </c>
      <c r="N17" s="13"/>
      <c r="O17" s="49">
        <f t="shared" ref="O17:U17" si="9">-O7/O6</f>
        <v>0.91058941058941056</v>
      </c>
      <c r="P17" s="49">
        <f t="shared" si="9"/>
        <v>0.95492610837438419</v>
      </c>
      <c r="Q17" s="49">
        <f t="shared" si="9"/>
        <v>0.76328502415458932</v>
      </c>
      <c r="R17" s="49">
        <f t="shared" si="9"/>
        <v>0.62152530292230934</v>
      </c>
      <c r="S17" s="49">
        <f t="shared" si="9"/>
        <v>0.88981481481481484</v>
      </c>
      <c r="T17" s="49">
        <f t="shared" si="9"/>
        <v>0.85007938308006348</v>
      </c>
      <c r="U17" s="50">
        <f t="shared" si="9"/>
        <v>0.72902709714402825</v>
      </c>
    </row>
    <row r="18" spans="4:21" s="10" customFormat="1" ht="15" thickBot="1" x14ac:dyDescent="0.3">
      <c r="D18" s="48" t="s">
        <v>61</v>
      </c>
      <c r="E18" s="49">
        <f>-E8/E6</f>
        <v>0.61310172424844567</v>
      </c>
      <c r="F18" s="49">
        <f>-F8/F6</f>
        <v>0.6398601398601399</v>
      </c>
      <c r="G18" s="49">
        <f>-G8/G6</f>
        <v>0.6383928571428571</v>
      </c>
      <c r="H18" s="49">
        <f>-H8/H6</f>
        <v>0.69821370042608977</v>
      </c>
      <c r="I18" s="49">
        <f>-I8/I6</f>
        <v>0.77207091939316397</v>
      </c>
      <c r="J18" s="49">
        <f t="shared" ref="J18:L18" si="10">-J8/J6</f>
        <v>0.52569444444444446</v>
      </c>
      <c r="K18" s="49">
        <f t="shared" si="10"/>
        <v>0.55195325925077332</v>
      </c>
      <c r="L18" s="50">
        <f t="shared" si="10"/>
        <v>0.58307401089871647</v>
      </c>
      <c r="M18" s="69">
        <f t="shared" ref="M18:M19" si="11">(L18-H18)*100</f>
        <v>-11.513968952737329</v>
      </c>
      <c r="N18" s="13"/>
      <c r="O18" s="49">
        <f t="shared" ref="O18:U18" si="12">-O8/O6</f>
        <v>0.6398601398601399</v>
      </c>
      <c r="P18" s="49">
        <f t="shared" si="12"/>
        <v>0.63694581280788176</v>
      </c>
      <c r="Q18" s="49">
        <f t="shared" si="12"/>
        <v>0.81473429951690823</v>
      </c>
      <c r="R18" s="49">
        <f t="shared" si="12"/>
        <v>0.98622000475172245</v>
      </c>
      <c r="S18" s="49">
        <f t="shared" si="12"/>
        <v>0.52569444444444446</v>
      </c>
      <c r="T18" s="49">
        <f t="shared" si="12"/>
        <v>0.57768201406214559</v>
      </c>
      <c r="U18" s="50">
        <f t="shared" si="12"/>
        <v>0.64289333959650408</v>
      </c>
    </row>
    <row r="19" spans="4:21" s="10" customFormat="1" ht="15" thickBot="1" x14ac:dyDescent="0.3">
      <c r="D19" s="42" t="s">
        <v>55</v>
      </c>
      <c r="E19" s="51">
        <f>-(E7+E8)/E6</f>
        <v>1.542144734311903</v>
      </c>
      <c r="F19" s="51">
        <f>-(F7+F8)/F6</f>
        <v>1.5504495504495504</v>
      </c>
      <c r="G19" s="51">
        <f>-(G7+G8)/G6</f>
        <v>1.5713045634920635</v>
      </c>
      <c r="H19" s="51">
        <f>-(H7+H8)/H6</f>
        <v>1.5735824319895115</v>
      </c>
      <c r="I19" s="51">
        <f>-(I7+I8)/I6</f>
        <v>1.5823432644854689</v>
      </c>
      <c r="J19" s="51">
        <f t="shared" ref="J19:L19" si="13">-(J7+J8)/J6</f>
        <v>1.4155092592592593</v>
      </c>
      <c r="K19" s="51">
        <f t="shared" si="13"/>
        <v>1.4216977889792646</v>
      </c>
      <c r="L19" s="52">
        <f t="shared" si="13"/>
        <v>1.4046634009423895</v>
      </c>
      <c r="M19" s="83">
        <f t="shared" si="11"/>
        <v>-16.891903104712203</v>
      </c>
      <c r="N19" s="13"/>
      <c r="O19" s="51">
        <f t="shared" ref="O19:U19" si="14">-(O7+O8)/O6</f>
        <v>1.5504495504495504</v>
      </c>
      <c r="P19" s="51">
        <f t="shared" si="14"/>
        <v>1.5918719211822661</v>
      </c>
      <c r="Q19" s="51">
        <f t="shared" si="14"/>
        <v>1.5780193236714977</v>
      </c>
      <c r="R19" s="51">
        <f t="shared" si="14"/>
        <v>1.6077453076740318</v>
      </c>
      <c r="S19" s="51">
        <f t="shared" si="14"/>
        <v>1.4155092592592593</v>
      </c>
      <c r="T19" s="51">
        <f t="shared" si="14"/>
        <v>1.4277613971422092</v>
      </c>
      <c r="U19" s="52">
        <f t="shared" si="14"/>
        <v>1.3719204367405324</v>
      </c>
    </row>
  </sheetData>
  <hyperlinks>
    <hyperlink ref="B2" location="'Financial Supplement&gt;&gt;&gt;'!A1" display="ÍNDICE" xr:uid="{B8D41817-F58C-4523-AE2E-770E05089E26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U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customWidth="1" collapsed="1"/>
    <col min="9" max="9" width="11" style="73" customWidth="1"/>
    <col min="10" max="11" width="11" style="73" hidden="1" customWidth="1" outlineLevel="1"/>
    <col min="12" max="12" width="11" style="73" customWidth="1" collapsed="1"/>
    <col min="13" max="13" width="11" style="73" customWidth="1"/>
    <col min="14" max="14" width="3" style="13" customWidth="1"/>
    <col min="15" max="16384" width="10.85546875" style="73"/>
  </cols>
  <sheetData>
    <row r="1" spans="2:21" ht="16.5" customHeight="1" x14ac:dyDescent="0.2"/>
    <row r="2" spans="2:21" ht="18.75" customHeight="1" thickBot="1" x14ac:dyDescent="0.25">
      <c r="B2" s="11" t="s">
        <v>32</v>
      </c>
      <c r="D2" s="14" t="s">
        <v>52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44</v>
      </c>
      <c r="P2" s="14"/>
      <c r="Q2" s="14"/>
      <c r="R2" s="14"/>
      <c r="S2" s="14"/>
      <c r="T2" s="14"/>
      <c r="U2" s="14"/>
    </row>
    <row r="4" spans="2:21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215</v>
      </c>
      <c r="L4" s="74" t="s">
        <v>219</v>
      </c>
      <c r="M4" s="75" t="s">
        <v>0</v>
      </c>
      <c r="N4" s="13"/>
      <c r="O4" s="47" t="s">
        <v>62</v>
      </c>
      <c r="P4" s="47" t="s">
        <v>63</v>
      </c>
      <c r="Q4" s="47" t="s">
        <v>64</v>
      </c>
      <c r="R4" s="47" t="s">
        <v>65</v>
      </c>
      <c r="S4" s="47" t="s">
        <v>191</v>
      </c>
      <c r="T4" s="47" t="s">
        <v>216</v>
      </c>
      <c r="U4" s="74" t="s">
        <v>220</v>
      </c>
    </row>
    <row r="5" spans="2:21" s="10" customFormat="1" x14ac:dyDescent="0.25">
      <c r="D5" s="33" t="s">
        <v>54</v>
      </c>
      <c r="E5" s="76">
        <v>1097</v>
      </c>
      <c r="F5" s="76">
        <v>741</v>
      </c>
      <c r="G5" s="76">
        <v>754</v>
      </c>
      <c r="H5" s="76">
        <v>767</v>
      </c>
      <c r="I5" s="76">
        <v>783</v>
      </c>
      <c r="J5" s="76">
        <v>799</v>
      </c>
      <c r="K5" s="76">
        <v>1033</v>
      </c>
      <c r="L5" s="77">
        <v>1358.5527999999997</v>
      </c>
      <c r="M5" s="78">
        <f>+L5/H5-1</f>
        <v>0.77125528031290713</v>
      </c>
      <c r="N5" s="13"/>
      <c r="O5" s="76">
        <f>F5</f>
        <v>741</v>
      </c>
      <c r="P5" s="76">
        <f t="shared" ref="P5:R10" si="0">G5-F5</f>
        <v>13</v>
      </c>
      <c r="Q5" s="76">
        <f t="shared" si="0"/>
        <v>13</v>
      </c>
      <c r="R5" s="76">
        <f t="shared" si="0"/>
        <v>16</v>
      </c>
      <c r="S5" s="76">
        <f>J5</f>
        <v>799</v>
      </c>
      <c r="T5" s="76">
        <f t="shared" ref="T5:U10" si="1">K5-J5</f>
        <v>234</v>
      </c>
      <c r="U5" s="77">
        <f t="shared" si="1"/>
        <v>325.55279999999971</v>
      </c>
    </row>
    <row r="6" spans="2:21" s="10" customFormat="1" x14ac:dyDescent="0.25">
      <c r="D6" s="33" t="s">
        <v>57</v>
      </c>
      <c r="E6" s="76">
        <v>1065</v>
      </c>
      <c r="F6" s="76">
        <v>235</v>
      </c>
      <c r="G6" s="76">
        <v>413</v>
      </c>
      <c r="H6" s="76">
        <v>593</v>
      </c>
      <c r="I6" s="76">
        <v>773</v>
      </c>
      <c r="J6" s="76">
        <v>188</v>
      </c>
      <c r="K6" s="76">
        <v>416</v>
      </c>
      <c r="L6" s="77">
        <v>714.09659999999917</v>
      </c>
      <c r="M6" s="78">
        <f t="shared" ref="M6:M11" si="2">+L6/H6-1</f>
        <v>0.20421011804384337</v>
      </c>
      <c r="N6" s="13"/>
      <c r="O6" s="76">
        <f t="shared" ref="O6:O10" si="3">F6</f>
        <v>235</v>
      </c>
      <c r="P6" s="76">
        <f t="shared" si="0"/>
        <v>178</v>
      </c>
      <c r="Q6" s="76">
        <f t="shared" si="0"/>
        <v>180</v>
      </c>
      <c r="R6" s="76">
        <f t="shared" si="0"/>
        <v>180</v>
      </c>
      <c r="S6" s="76">
        <f t="shared" ref="S6:S10" si="4">J6</f>
        <v>188</v>
      </c>
      <c r="T6" s="76">
        <f t="shared" si="1"/>
        <v>228</v>
      </c>
      <c r="U6" s="77">
        <f t="shared" si="1"/>
        <v>298.09659999999917</v>
      </c>
    </row>
    <row r="7" spans="2:21" s="10" customFormat="1" x14ac:dyDescent="0.25">
      <c r="D7" s="48" t="s">
        <v>58</v>
      </c>
      <c r="E7" s="56">
        <v>-647</v>
      </c>
      <c r="F7" s="56">
        <v>-95</v>
      </c>
      <c r="G7" s="56">
        <v>-195</v>
      </c>
      <c r="H7" s="56">
        <v>-305</v>
      </c>
      <c r="I7" s="56">
        <v>-476</v>
      </c>
      <c r="J7" s="56">
        <v>-111</v>
      </c>
      <c r="K7" s="56">
        <v>-216</v>
      </c>
      <c r="L7" s="57">
        <v>-305.26263</v>
      </c>
      <c r="M7" s="79">
        <f t="shared" si="2"/>
        <v>8.6108196721301766E-4</v>
      </c>
      <c r="O7" s="56">
        <f t="shared" si="3"/>
        <v>-95</v>
      </c>
      <c r="P7" s="56">
        <f t="shared" si="0"/>
        <v>-100</v>
      </c>
      <c r="Q7" s="56">
        <f t="shared" si="0"/>
        <v>-110</v>
      </c>
      <c r="R7" s="56">
        <f t="shared" si="0"/>
        <v>-171</v>
      </c>
      <c r="S7" s="56">
        <f t="shared" si="4"/>
        <v>-111</v>
      </c>
      <c r="T7" s="56">
        <f t="shared" si="1"/>
        <v>-105</v>
      </c>
      <c r="U7" s="57">
        <f t="shared" si="1"/>
        <v>-89.262630000000001</v>
      </c>
    </row>
    <row r="8" spans="2:21" s="10" customFormat="1" x14ac:dyDescent="0.25">
      <c r="D8" s="48" t="s">
        <v>59</v>
      </c>
      <c r="E8" s="56">
        <f>SUM(E9:E10)</f>
        <v>-66</v>
      </c>
      <c r="F8" s="56">
        <f t="shared" ref="F8:L8" si="5">SUM(F9:F10)</f>
        <v>-36</v>
      </c>
      <c r="G8" s="56">
        <f t="shared" si="5"/>
        <v>-43</v>
      </c>
      <c r="H8" s="56">
        <f t="shared" si="5"/>
        <v>-57</v>
      </c>
      <c r="I8" s="56">
        <f t="shared" si="5"/>
        <v>-59</v>
      </c>
      <c r="J8" s="56">
        <f t="shared" si="5"/>
        <v>-136</v>
      </c>
      <c r="K8" s="56">
        <f t="shared" si="5"/>
        <v>-267</v>
      </c>
      <c r="L8" s="57">
        <f t="shared" si="5"/>
        <v>-484.61062249599991</v>
      </c>
      <c r="M8" s="79">
        <f t="shared" si="2"/>
        <v>7.5019407455438571</v>
      </c>
      <c r="N8" s="13"/>
      <c r="O8" s="56">
        <f t="shared" si="3"/>
        <v>-36</v>
      </c>
      <c r="P8" s="56">
        <f t="shared" si="0"/>
        <v>-7</v>
      </c>
      <c r="Q8" s="56">
        <f t="shared" si="0"/>
        <v>-14</v>
      </c>
      <c r="R8" s="56">
        <f t="shared" si="0"/>
        <v>-2</v>
      </c>
      <c r="S8" s="56">
        <f t="shared" si="4"/>
        <v>-136</v>
      </c>
      <c r="T8" s="56">
        <f t="shared" si="1"/>
        <v>-131</v>
      </c>
      <c r="U8" s="57">
        <f t="shared" si="1"/>
        <v>-217.61062249599991</v>
      </c>
    </row>
    <row r="9" spans="2:21" s="10" customFormat="1" x14ac:dyDescent="0.25">
      <c r="D9" s="170" t="s">
        <v>180</v>
      </c>
      <c r="E9" s="56">
        <v>-55</v>
      </c>
      <c r="F9" s="56">
        <v>-30</v>
      </c>
      <c r="G9" s="56">
        <v>-31</v>
      </c>
      <c r="H9" s="56">
        <v>-40</v>
      </c>
      <c r="I9" s="56">
        <v>-36</v>
      </c>
      <c r="J9" s="56">
        <v>-124</v>
      </c>
      <c r="K9" s="56">
        <v>-228</v>
      </c>
      <c r="L9" s="57">
        <v>-385.36266249599993</v>
      </c>
      <c r="M9" s="79">
        <f t="shared" si="2"/>
        <v>8.6340665623999975</v>
      </c>
      <c r="N9" s="13"/>
      <c r="O9" s="56">
        <f t="shared" si="3"/>
        <v>-30</v>
      </c>
      <c r="P9" s="56">
        <f t="shared" si="0"/>
        <v>-1</v>
      </c>
      <c r="Q9" s="56">
        <f t="shared" si="0"/>
        <v>-9</v>
      </c>
      <c r="R9" s="56">
        <f t="shared" si="0"/>
        <v>4</v>
      </c>
      <c r="S9" s="56">
        <f t="shared" si="4"/>
        <v>-124</v>
      </c>
      <c r="T9" s="56">
        <f t="shared" si="1"/>
        <v>-104</v>
      </c>
      <c r="U9" s="57">
        <f t="shared" si="1"/>
        <v>-157.36266249599993</v>
      </c>
    </row>
    <row r="10" spans="2:21" s="10" customFormat="1" ht="15" thickBot="1" x14ac:dyDescent="0.3">
      <c r="D10" s="170" t="s">
        <v>217</v>
      </c>
      <c r="E10" s="56">
        <v>-11</v>
      </c>
      <c r="F10" s="56">
        <v>-6</v>
      </c>
      <c r="G10" s="56">
        <v>-12</v>
      </c>
      <c r="H10" s="56">
        <v>-17</v>
      </c>
      <c r="I10" s="56">
        <v>-23</v>
      </c>
      <c r="J10" s="56">
        <v>-12</v>
      </c>
      <c r="K10" s="56">
        <v>-39</v>
      </c>
      <c r="L10" s="57">
        <v>-99.247960000000006</v>
      </c>
      <c r="M10" s="79">
        <f t="shared" si="2"/>
        <v>4.8381152941176477</v>
      </c>
      <c r="N10" s="13"/>
      <c r="O10" s="56">
        <f t="shared" si="3"/>
        <v>-6</v>
      </c>
      <c r="P10" s="56">
        <f t="shared" si="0"/>
        <v>-6</v>
      </c>
      <c r="Q10" s="56">
        <f t="shared" si="0"/>
        <v>-5</v>
      </c>
      <c r="R10" s="56">
        <f t="shared" si="0"/>
        <v>-6</v>
      </c>
      <c r="S10" s="56">
        <f t="shared" si="4"/>
        <v>-12</v>
      </c>
      <c r="T10" s="56">
        <f t="shared" si="1"/>
        <v>-27</v>
      </c>
      <c r="U10" s="57">
        <f>L10-K10</f>
        <v>-60.247960000000006</v>
      </c>
    </row>
    <row r="11" spans="2:21" s="10" customFormat="1" ht="15" thickBot="1" x14ac:dyDescent="0.3">
      <c r="D11" s="42" t="s">
        <v>56</v>
      </c>
      <c r="E11" s="59">
        <f t="shared" ref="E11:L11" si="6">SUM(E6,E7,E8)</f>
        <v>352</v>
      </c>
      <c r="F11" s="59">
        <f t="shared" si="6"/>
        <v>104</v>
      </c>
      <c r="G11" s="59">
        <f t="shared" si="6"/>
        <v>175</v>
      </c>
      <c r="H11" s="59">
        <f t="shared" si="6"/>
        <v>231</v>
      </c>
      <c r="I11" s="59">
        <f t="shared" si="6"/>
        <v>238</v>
      </c>
      <c r="J11" s="59">
        <f t="shared" si="6"/>
        <v>-59</v>
      </c>
      <c r="K11" s="59">
        <f t="shared" si="6"/>
        <v>-67</v>
      </c>
      <c r="L11" s="60">
        <f t="shared" si="6"/>
        <v>-75.776652496000736</v>
      </c>
      <c r="M11" s="80">
        <f t="shared" si="2"/>
        <v>-1.3280374566926438</v>
      </c>
      <c r="N11" s="13"/>
      <c r="O11" s="59">
        <f t="shared" ref="O11:U11" si="7">SUM(O6,O7,O8)</f>
        <v>104</v>
      </c>
      <c r="P11" s="59">
        <f t="shared" si="7"/>
        <v>71</v>
      </c>
      <c r="Q11" s="59">
        <f t="shared" si="7"/>
        <v>56</v>
      </c>
      <c r="R11" s="59">
        <f t="shared" si="7"/>
        <v>7</v>
      </c>
      <c r="S11" s="59">
        <f t="shared" si="7"/>
        <v>-59</v>
      </c>
      <c r="T11" s="59">
        <f t="shared" si="7"/>
        <v>-8</v>
      </c>
      <c r="U11" s="60">
        <f t="shared" si="7"/>
        <v>-8.7766524960007359</v>
      </c>
    </row>
    <row r="12" spans="2:21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9"/>
      <c r="M12" s="49"/>
      <c r="N12" s="13"/>
    </row>
    <row r="13" spans="2:21" s="10" customFormat="1" x14ac:dyDescent="0.25">
      <c r="D13" s="19"/>
      <c r="E13" s="81"/>
      <c r="F13" s="81"/>
      <c r="G13" s="81"/>
      <c r="H13" s="81"/>
      <c r="I13" s="81"/>
      <c r="J13" s="81"/>
      <c r="K13" s="81"/>
      <c r="L13" s="27"/>
      <c r="M13" s="27" t="s">
        <v>46</v>
      </c>
      <c r="N13" s="13"/>
      <c r="R13" s="27"/>
      <c r="S13" s="27"/>
      <c r="T13" s="27"/>
      <c r="U13" s="27" t="s">
        <v>46</v>
      </c>
    </row>
    <row r="14" spans="2:21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13"/>
    </row>
    <row r="15" spans="2:21" s="10" customFormat="1" x14ac:dyDescent="0.25">
      <c r="D15" s="33"/>
      <c r="E15" s="45"/>
      <c r="F15" s="45"/>
      <c r="G15" s="45"/>
      <c r="H15" s="45"/>
      <c r="I15" s="45"/>
      <c r="J15" s="45"/>
      <c r="K15" s="45"/>
      <c r="L15" s="49"/>
      <c r="M15" s="49"/>
      <c r="N15" s="13"/>
    </row>
    <row r="16" spans="2:21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215</v>
      </c>
      <c r="L16" s="74" t="s">
        <v>219</v>
      </c>
      <c r="M16" s="82" t="s">
        <v>2</v>
      </c>
      <c r="N16" s="13"/>
      <c r="O16" s="47" t="s">
        <v>62</v>
      </c>
      <c r="P16" s="47" t="s">
        <v>63</v>
      </c>
      <c r="Q16" s="47" t="s">
        <v>64</v>
      </c>
      <c r="R16" s="47" t="s">
        <v>65</v>
      </c>
      <c r="S16" s="47" t="s">
        <v>191</v>
      </c>
      <c r="T16" s="47" t="s">
        <v>216</v>
      </c>
      <c r="U16" s="74" t="s">
        <v>220</v>
      </c>
    </row>
    <row r="17" spans="4:21" s="10" customFormat="1" x14ac:dyDescent="0.25">
      <c r="D17" s="48" t="s">
        <v>60</v>
      </c>
      <c r="E17" s="49">
        <f>-E7/E6</f>
        <v>0.60751173708920192</v>
      </c>
      <c r="F17" s="49">
        <f>-F7/F6</f>
        <v>0.40425531914893614</v>
      </c>
      <c r="G17" s="49">
        <f>-G7/G6</f>
        <v>0.4721549636803874</v>
      </c>
      <c r="H17" s="49">
        <f>-H7/H6</f>
        <v>0.51433389544688024</v>
      </c>
      <c r="I17" s="49">
        <f>-I7/I6</f>
        <v>0.61578266494178524</v>
      </c>
      <c r="J17" s="49">
        <f t="shared" ref="J17:L17" si="8">-J7/J6</f>
        <v>0.59042553191489366</v>
      </c>
      <c r="K17" s="49">
        <f t="shared" si="8"/>
        <v>0.51923076923076927</v>
      </c>
      <c r="L17" s="50">
        <f t="shared" si="8"/>
        <v>0.4274808618329794</v>
      </c>
      <c r="M17" s="69">
        <f>(L17-H17)*100</f>
        <v>-8.6853033613900834</v>
      </c>
      <c r="N17" s="13"/>
      <c r="O17" s="49">
        <f t="shared" ref="O17:S17" si="9">-O7/O6</f>
        <v>0.40425531914893614</v>
      </c>
      <c r="P17" s="49">
        <f t="shared" si="9"/>
        <v>0.5617977528089888</v>
      </c>
      <c r="Q17" s="49">
        <f t="shared" si="9"/>
        <v>0.61111111111111116</v>
      </c>
      <c r="R17" s="49">
        <f t="shared" si="9"/>
        <v>0.95</v>
      </c>
      <c r="S17" s="49">
        <f t="shared" si="9"/>
        <v>0.59042553191489366</v>
      </c>
      <c r="T17" s="49">
        <f t="shared" ref="T17:U17" si="10">-T7/T6</f>
        <v>0.46052631578947367</v>
      </c>
      <c r="U17" s="50">
        <f t="shared" si="10"/>
        <v>0.29944195941852492</v>
      </c>
    </row>
    <row r="18" spans="4:21" s="10" customFormat="1" ht="15" thickBot="1" x14ac:dyDescent="0.3">
      <c r="D18" s="48" t="s">
        <v>61</v>
      </c>
      <c r="E18" s="49">
        <f>-E8/E6</f>
        <v>6.1971830985915494E-2</v>
      </c>
      <c r="F18" s="49">
        <f>-F8/F6</f>
        <v>0.15319148936170213</v>
      </c>
      <c r="G18" s="49">
        <f>-G8/G6</f>
        <v>0.10411622276029056</v>
      </c>
      <c r="H18" s="49">
        <f>-H8/H6</f>
        <v>9.6121416526138273E-2</v>
      </c>
      <c r="I18" s="49">
        <f>-I8/I6</f>
        <v>7.6326002587322125E-2</v>
      </c>
      <c r="J18" s="49">
        <f t="shared" ref="J18:L18" si="11">-J8/J6</f>
        <v>0.72340425531914898</v>
      </c>
      <c r="K18" s="49">
        <f t="shared" si="11"/>
        <v>0.64182692307692313</v>
      </c>
      <c r="L18" s="50">
        <f t="shared" si="11"/>
        <v>0.6786345467770053</v>
      </c>
      <c r="M18" s="69">
        <f t="shared" ref="M18:M19" si="12">(L18-H18)*100</f>
        <v>58.251313025086702</v>
      </c>
      <c r="N18" s="13"/>
      <c r="O18" s="49">
        <f t="shared" ref="O18:S18" si="13">-O8/O6</f>
        <v>0.15319148936170213</v>
      </c>
      <c r="P18" s="49">
        <f t="shared" si="13"/>
        <v>3.9325842696629212E-2</v>
      </c>
      <c r="Q18" s="49">
        <f t="shared" si="13"/>
        <v>7.7777777777777779E-2</v>
      </c>
      <c r="R18" s="49">
        <f t="shared" si="13"/>
        <v>1.1111111111111112E-2</v>
      </c>
      <c r="S18" s="49">
        <f t="shared" si="13"/>
        <v>0.72340425531914898</v>
      </c>
      <c r="T18" s="49">
        <f t="shared" ref="T18:U18" si="14">-T8/T6</f>
        <v>0.57456140350877194</v>
      </c>
      <c r="U18" s="50">
        <f t="shared" si="14"/>
        <v>0.73000035054408707</v>
      </c>
    </row>
    <row r="19" spans="4:21" s="10" customFormat="1" ht="15" thickBot="1" x14ac:dyDescent="0.3">
      <c r="D19" s="42" t="s">
        <v>55</v>
      </c>
      <c r="E19" s="51">
        <f>-(E7+E8)/E6</f>
        <v>0.66948356807511733</v>
      </c>
      <c r="F19" s="51">
        <f>-(F7+F8)/F6</f>
        <v>0.55744680851063833</v>
      </c>
      <c r="G19" s="51">
        <f>-(G7+G8)/G6</f>
        <v>0.57627118644067798</v>
      </c>
      <c r="H19" s="51">
        <f>-(H7+H8)/H6</f>
        <v>0.6104553119730185</v>
      </c>
      <c r="I19" s="51">
        <f>-(I7+I8)/I6</f>
        <v>0.69210866752910738</v>
      </c>
      <c r="J19" s="51">
        <f t="shared" ref="J19:L19" si="15">-(J7+J8)/J6</f>
        <v>1.3138297872340425</v>
      </c>
      <c r="K19" s="51">
        <f t="shared" si="15"/>
        <v>1.1610576923076923</v>
      </c>
      <c r="L19" s="52">
        <f t="shared" si="15"/>
        <v>1.1061154086099847</v>
      </c>
      <c r="M19" s="83">
        <f t="shared" si="12"/>
        <v>49.566009663696619</v>
      </c>
      <c r="N19" s="13"/>
      <c r="O19" s="51">
        <f t="shared" ref="O19:S19" si="16">-(O7+O8)/O6</f>
        <v>0.55744680851063833</v>
      </c>
      <c r="P19" s="51">
        <f t="shared" si="16"/>
        <v>0.601123595505618</v>
      </c>
      <c r="Q19" s="51">
        <f t="shared" si="16"/>
        <v>0.68888888888888888</v>
      </c>
      <c r="R19" s="51">
        <f t="shared" si="16"/>
        <v>0.96111111111111114</v>
      </c>
      <c r="S19" s="51">
        <f t="shared" si="16"/>
        <v>1.3138297872340425</v>
      </c>
      <c r="T19" s="51">
        <f t="shared" ref="T19:U19" si="17">-(T7+T8)/T6</f>
        <v>1.0350877192982457</v>
      </c>
      <c r="U19" s="52">
        <f t="shared" si="17"/>
        <v>1.029442309962612</v>
      </c>
    </row>
  </sheetData>
  <hyperlinks>
    <hyperlink ref="B2" location="'Financial Supplement&gt;&gt;&gt;'!A1" display="ÍNDICE" xr:uid="{7A6F046F-831A-4029-9C3F-74F9AAF8CA19}"/>
  </hyperlinks>
  <pageMargins left="0.7" right="0.7" top="0.75" bottom="0.75" header="0.3" footer="0.3"/>
  <pageSetup paperSize="9" scale="71" orientation="landscape" r:id="rId1"/>
  <ignoredErrors>
    <ignoredError sqref="S5:S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Financial Supplement&gt;&gt;&gt;</vt:lpstr>
      <vt:lpstr>IFRS 17&amp;9&gt;&gt;&gt;</vt:lpstr>
      <vt:lpstr>BS - IFRS 17&amp;9</vt:lpstr>
      <vt:lpstr>P&amp;L - IFRS 17&amp;9</vt:lpstr>
      <vt:lpstr>LoB - IFRS 17&amp;9</vt:lpstr>
      <vt:lpstr>Motor - IFRS 17&amp;9</vt:lpstr>
      <vt:lpstr>Home - IFRS 17&amp;9</vt:lpstr>
      <vt:lpstr>Health - IFRS 17&amp;9</vt:lpstr>
      <vt:lpstr>Other - IFRS 17&amp;9</vt:lpstr>
      <vt:lpstr>IFRS 4&gt;&gt;&gt;</vt:lpstr>
      <vt:lpstr>BS - IFRS 4</vt:lpstr>
      <vt:lpstr>P&amp;L - IFRS 4</vt:lpstr>
      <vt:lpstr>LoB - IFRS 4</vt:lpstr>
      <vt:lpstr>Motor - IFRS 4</vt:lpstr>
      <vt:lpstr>Home - IFRS 4</vt:lpstr>
      <vt:lpstr>Health  - IFRS 4</vt:lpstr>
      <vt:lpstr>Other - IFRS 4</vt:lpstr>
      <vt:lpstr>P&amp;L reconciliation IFRS 17&amp;9</vt:lpstr>
      <vt:lpstr>Combined Ratio</vt:lpstr>
      <vt:lpstr>Investments</vt:lpstr>
      <vt:lpstr>SII</vt:lpstr>
      <vt:lpstr>'BS - IFRS 17&amp;9'!Área_de_impresión</vt:lpstr>
      <vt:lpstr>'BS - IFRS 4'!Área_de_impresión</vt:lpstr>
      <vt:lpstr>'Health - IFRS 17&amp;9'!Área_de_impresión</vt:lpstr>
      <vt:lpstr>'Home - IFRS 17&amp;9'!Área_de_impresión</vt:lpstr>
      <vt:lpstr>'Motor - IFRS 17&amp;9'!Área_de_impresión</vt:lpstr>
      <vt:lpstr>'Motor - IFRS 4'!Área_de_impresión</vt:lpstr>
      <vt:lpstr>'Other - IFRS 17&amp;9'!Área_de_impresión</vt:lpstr>
      <vt:lpstr>'Other - IFRS 4'!Área_de_impresión</vt:lpstr>
      <vt:lpstr>'P&amp;L - IFRS 17&amp;9'!Área_de_impresión</vt:lpstr>
      <vt:lpstr>'P&amp;L - IFRS 4'!Área_de_impresión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2024-10-16T11:48:54Z</dcterms:modified>
</cp:coreProperties>
</file>