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3\12M 2023\3. Suplemento Financiero\Sin vinculos para la página web\"/>
    </mc:Choice>
  </mc:AlternateContent>
  <xr:revisionPtr revIDLastSave="0" documentId="13_ncr:1_{905E63E0-ABDA-48D8-BB3B-31704F131D4E}" xr6:coauthVersionLast="46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Suplemento Financiero&gt;&gt;&gt;" sheetId="18" r:id="rId1"/>
    <sheet name="NIIF 17&amp;9&gt;&gt;&gt;" sheetId="37" r:id="rId2"/>
    <sheet name="Balance - NIIF 17&amp;9" sheetId="26" r:id="rId3"/>
    <sheet name="P&amp;G - NIIF 17&amp;9" sheetId="25" r:id="rId4"/>
    <sheet name="Líneas de Negocio - NIIF 17&amp;9" sheetId="13" r:id="rId5"/>
    <sheet name="Motor - NIIF 17&amp;9" sheetId="14" r:id="rId6"/>
    <sheet name="Hogar - NIIF 17&amp;9" sheetId="28" r:id="rId7"/>
    <sheet name="Salud - NIIF 17&amp;9" sheetId="29" r:id="rId8"/>
    <sheet name="Otros - NIIF 17&amp;9" sheetId="30" r:id="rId9"/>
    <sheet name="NIIF 4&gt;&gt;&gt;" sheetId="38" r:id="rId10"/>
    <sheet name="P&amp;G - NIIF 4" sheetId="31" r:id="rId11"/>
    <sheet name="Líneas de Negocio - NIIF 4" sheetId="32" r:id="rId12"/>
    <sheet name="Motor - NIIF 4" sheetId="33" r:id="rId13"/>
    <sheet name="Hogar - NIIF 4" sheetId="34" r:id="rId14"/>
    <sheet name="Salud - NIIF 4" sheetId="35" r:id="rId15"/>
    <sheet name="Otros - NIIF 4" sheetId="36" r:id="rId16"/>
    <sheet name="Ratio Combinado" sheetId="39" r:id="rId17"/>
    <sheet name="Solvencia" sheetId="23" r:id="rId18"/>
    <sheet name="Inversiones" sheetId="19" r:id="rId19"/>
  </sheets>
  <externalReferences>
    <externalReference r:id="rId20"/>
    <externalReference r:id="rId21"/>
  </externalReferences>
  <definedNames>
    <definedName name="_IsComposite">[1]Participant!$G$15</definedName>
    <definedName name="_TS_">[1]P.Index!$F$40</definedName>
    <definedName name="_xlnm.Print_Area" localSheetId="2">'Balance - NIIF 17&amp;9'!$B$1:$C$39</definedName>
    <definedName name="_xlnm.Print_Area" localSheetId="6">'Hogar - NIIF 17&amp;9'!$B$1:$K$3</definedName>
    <definedName name="_xlnm.Print_Area" localSheetId="5">'Motor - NIIF 17&amp;9'!$B$1:$K$3</definedName>
    <definedName name="_xlnm.Print_Area" localSheetId="12">'Motor - NIIF 4'!$B$1:$AD$18</definedName>
    <definedName name="_xlnm.Print_Area" localSheetId="8">'Otros - NIIF 17&amp;9'!$B$1:$K$3</definedName>
    <definedName name="_xlnm.Print_Area" localSheetId="15">'Otros - NIIF 4'!$B$1:$AD$19</definedName>
    <definedName name="_xlnm.Print_Area" localSheetId="3">'P&amp;G - NIIF 17&amp;9'!$B$1:$J$27</definedName>
    <definedName name="_xlnm.Print_Area" localSheetId="10">'P&amp;G - NIIF 4'!$B$1:$AC$26</definedName>
    <definedName name="_xlnm.Print_Area" localSheetId="7">'Salud - NIIF 17&amp;9'!$B$1:$K$3</definedName>
    <definedName name="numeroescenarios">[2]Escenarios!$D$6</definedName>
    <definedName name="Version">[1]P.Index!$I$2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9" l="1"/>
  <c r="E25" i="39" s="1"/>
  <c r="G17" i="39"/>
  <c r="G25" i="39" s="1"/>
  <c r="G27" i="39" s="1"/>
  <c r="G8" i="39"/>
  <c r="G15" i="39" s="1"/>
  <c r="E8" i="39"/>
  <c r="E15" i="39" s="1"/>
  <c r="E27" i="39" l="1"/>
  <c r="E27" i="26"/>
  <c r="F27" i="26"/>
  <c r="E8" i="26"/>
  <c r="F6" i="26"/>
  <c r="E6" i="26"/>
  <c r="E34" i="26" l="1"/>
  <c r="E38" i="26" s="1"/>
  <c r="F8" i="26"/>
  <c r="E32" i="26"/>
  <c r="E14" i="26"/>
  <c r="E19" i="26" s="1"/>
  <c r="F32" i="26"/>
  <c r="F34" i="26"/>
  <c r="F38" i="26" s="1"/>
  <c r="F14" i="26"/>
  <c r="F19" i="26" l="1"/>
  <c r="E39" i="26"/>
  <c r="F39" i="26"/>
  <c r="T19" i="36" l="1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J10" i="36"/>
  <c r="AI10" i="36"/>
  <c r="AH10" i="36"/>
  <c r="AG10" i="36"/>
  <c r="AF10" i="36"/>
  <c r="AE10" i="36"/>
  <c r="AD10" i="36"/>
  <c r="AC10" i="36"/>
  <c r="AB10" i="36"/>
  <c r="AA10" i="36"/>
  <c r="Z10" i="36"/>
  <c r="Y10" i="36"/>
  <c r="AK10" i="36"/>
  <c r="AJ9" i="36"/>
  <c r="AI9" i="36"/>
  <c r="AH9" i="36"/>
  <c r="AG9" i="36"/>
  <c r="AF9" i="36"/>
  <c r="AE9" i="36"/>
  <c r="AD9" i="36"/>
  <c r="AC9" i="36"/>
  <c r="AB9" i="36"/>
  <c r="AA9" i="36"/>
  <c r="Z9" i="36"/>
  <c r="Y9" i="36"/>
  <c r="AK9" i="36"/>
  <c r="AJ8" i="36"/>
  <c r="AI8" i="36"/>
  <c r="AI18" i="36" s="1"/>
  <c r="AH8" i="36"/>
  <c r="AG8" i="36"/>
  <c r="AF8" i="36"/>
  <c r="AE8" i="36"/>
  <c r="AD8" i="36"/>
  <c r="AC8" i="36"/>
  <c r="AB8" i="36"/>
  <c r="AA8" i="36"/>
  <c r="Z8" i="36"/>
  <c r="Y8" i="36"/>
  <c r="AJ7" i="36"/>
  <c r="AI7" i="36"/>
  <c r="AI19" i="36" s="1"/>
  <c r="AH7" i="36"/>
  <c r="AG7" i="36"/>
  <c r="AF7" i="36"/>
  <c r="AE7" i="36"/>
  <c r="AD7" i="36"/>
  <c r="AC7" i="36"/>
  <c r="AB7" i="36"/>
  <c r="AA7" i="36"/>
  <c r="Z7" i="36"/>
  <c r="Y7" i="36"/>
  <c r="AK7" i="36"/>
  <c r="AJ6" i="36"/>
  <c r="AI6" i="36"/>
  <c r="AH6" i="36"/>
  <c r="AG6" i="36"/>
  <c r="AF6" i="36"/>
  <c r="AE6" i="36"/>
  <c r="AD6" i="36"/>
  <c r="AC6" i="36"/>
  <c r="AB6" i="36"/>
  <c r="AA6" i="36"/>
  <c r="Z6" i="36"/>
  <c r="Y6" i="36"/>
  <c r="AK6" i="36"/>
  <c r="AJ5" i="36"/>
  <c r="AI5" i="36"/>
  <c r="AH5" i="36"/>
  <c r="AG5" i="36"/>
  <c r="AF5" i="36"/>
  <c r="AE5" i="36"/>
  <c r="AD5" i="36"/>
  <c r="AC5" i="36"/>
  <c r="AB5" i="36"/>
  <c r="AA5" i="36"/>
  <c r="Z5" i="36"/>
  <c r="Y5" i="36"/>
  <c r="AK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J9" i="35"/>
  <c r="AI9" i="35"/>
  <c r="AH9" i="35"/>
  <c r="AG9" i="35"/>
  <c r="AF9" i="35"/>
  <c r="AE9" i="35"/>
  <c r="AD9" i="35"/>
  <c r="AC9" i="35"/>
  <c r="AB9" i="35"/>
  <c r="AA9" i="35"/>
  <c r="Z9" i="35"/>
  <c r="Y9" i="35"/>
  <c r="AK9" i="35"/>
  <c r="AJ8" i="35"/>
  <c r="AI8" i="35"/>
  <c r="AH8" i="35"/>
  <c r="AG8" i="35"/>
  <c r="AF8" i="35"/>
  <c r="AE8" i="35"/>
  <c r="AD8" i="35"/>
  <c r="AC8" i="35"/>
  <c r="AB8" i="35"/>
  <c r="AA8" i="35"/>
  <c r="Z8" i="35"/>
  <c r="Y8" i="35"/>
  <c r="AK8" i="35"/>
  <c r="AJ7" i="35"/>
  <c r="AI7" i="35"/>
  <c r="AH7" i="35"/>
  <c r="AG7" i="35"/>
  <c r="AF7" i="35"/>
  <c r="AE7" i="35"/>
  <c r="AD7" i="35"/>
  <c r="AC7" i="35"/>
  <c r="AB7" i="35"/>
  <c r="AA7" i="35"/>
  <c r="Z7" i="35"/>
  <c r="Y7" i="35"/>
  <c r="AK7" i="35"/>
  <c r="AJ6" i="35"/>
  <c r="AI6" i="35"/>
  <c r="AH6" i="35"/>
  <c r="AG6" i="35"/>
  <c r="AF6" i="35"/>
  <c r="AE6" i="35"/>
  <c r="AD6" i="35"/>
  <c r="AC6" i="35"/>
  <c r="AC10" i="35" s="1"/>
  <c r="AB6" i="35"/>
  <c r="AA6" i="35"/>
  <c r="Z6" i="35"/>
  <c r="Z10" i="35" s="1"/>
  <c r="Y6" i="35"/>
  <c r="AJ5" i="35"/>
  <c r="AI5" i="35"/>
  <c r="AH5" i="35"/>
  <c r="AG5" i="35"/>
  <c r="AF5" i="35"/>
  <c r="AE5" i="35"/>
  <c r="AD5" i="35"/>
  <c r="AC5" i="35"/>
  <c r="AB5" i="35"/>
  <c r="AA5" i="35"/>
  <c r="Z5" i="35"/>
  <c r="Y5" i="35"/>
  <c r="AK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J9" i="34"/>
  <c r="AI9" i="34"/>
  <c r="AH9" i="34"/>
  <c r="AG9" i="34"/>
  <c r="AF9" i="34"/>
  <c r="AE9" i="34"/>
  <c r="AD9" i="34"/>
  <c r="AC9" i="34"/>
  <c r="AB9" i="34"/>
  <c r="AA9" i="34"/>
  <c r="Z9" i="34"/>
  <c r="Y9" i="34"/>
  <c r="AK9" i="34"/>
  <c r="AJ8" i="34"/>
  <c r="AI8" i="34"/>
  <c r="AH8" i="34"/>
  <c r="AG8" i="34"/>
  <c r="AF8" i="34"/>
  <c r="AE8" i="34"/>
  <c r="AD8" i="34"/>
  <c r="AC8" i="34"/>
  <c r="AB8" i="34"/>
  <c r="AA8" i="34"/>
  <c r="Z8" i="34"/>
  <c r="Y8" i="34"/>
  <c r="AJ7" i="34"/>
  <c r="AI7" i="34"/>
  <c r="AH7" i="34"/>
  <c r="AG7" i="34"/>
  <c r="AF7" i="34"/>
  <c r="AE7" i="34"/>
  <c r="AD7" i="34"/>
  <c r="AC7" i="34"/>
  <c r="AB7" i="34"/>
  <c r="AA7" i="34"/>
  <c r="Z7" i="34"/>
  <c r="Y7" i="34"/>
  <c r="AK7" i="34"/>
  <c r="AJ6" i="34"/>
  <c r="AI6" i="34"/>
  <c r="AH6" i="34"/>
  <c r="AG6" i="34"/>
  <c r="AG10" i="34" s="1"/>
  <c r="AF6" i="34"/>
  <c r="AF10" i="34" s="1"/>
  <c r="AE6" i="34"/>
  <c r="AD6" i="34"/>
  <c r="AC6" i="34"/>
  <c r="AB6" i="34"/>
  <c r="AB10" i="34" s="1"/>
  <c r="AA6" i="34"/>
  <c r="Z6" i="34"/>
  <c r="Y6" i="34"/>
  <c r="AJ5" i="34"/>
  <c r="AI5" i="34"/>
  <c r="AH5" i="34"/>
  <c r="AG5" i="34"/>
  <c r="AF5" i="34"/>
  <c r="AE5" i="34"/>
  <c r="AD5" i="34"/>
  <c r="AC5" i="34"/>
  <c r="AB5" i="34"/>
  <c r="AA5" i="34"/>
  <c r="Z5" i="34"/>
  <c r="Y5" i="34"/>
  <c r="AK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J9" i="33"/>
  <c r="AI9" i="33"/>
  <c r="AH9" i="33"/>
  <c r="AG9" i="33"/>
  <c r="AF9" i="33"/>
  <c r="AE9" i="33"/>
  <c r="AD9" i="33"/>
  <c r="AC9" i="33"/>
  <c r="AB9" i="33"/>
  <c r="AA9" i="33"/>
  <c r="Z9" i="33"/>
  <c r="Y9" i="33"/>
  <c r="AK9" i="33"/>
  <c r="AJ8" i="33"/>
  <c r="AI8" i="33"/>
  <c r="AH8" i="33"/>
  <c r="AG8" i="33"/>
  <c r="AF8" i="33"/>
  <c r="AE8" i="33"/>
  <c r="AD8" i="33"/>
  <c r="AC8" i="33"/>
  <c r="AB8" i="33"/>
  <c r="AA8" i="33"/>
  <c r="Z8" i="33"/>
  <c r="Y8" i="33"/>
  <c r="AK8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AJ6" i="33"/>
  <c r="AI6" i="33"/>
  <c r="AH6" i="33"/>
  <c r="AG6" i="33"/>
  <c r="AG10" i="33" s="1"/>
  <c r="AF6" i="33"/>
  <c r="AE6" i="33"/>
  <c r="AE10" i="33" s="1"/>
  <c r="AD6" i="33"/>
  <c r="AC6" i="33"/>
  <c r="AB6" i="33"/>
  <c r="AA6" i="33"/>
  <c r="Z6" i="33"/>
  <c r="Y6" i="33"/>
  <c r="AK6" i="33"/>
  <c r="AJ5" i="33"/>
  <c r="AI5" i="33"/>
  <c r="AH5" i="33"/>
  <c r="AG5" i="33"/>
  <c r="AF5" i="33"/>
  <c r="AE5" i="33"/>
  <c r="AD5" i="33"/>
  <c r="AC5" i="33"/>
  <c r="AB5" i="33"/>
  <c r="AA5" i="33"/>
  <c r="Z5" i="33"/>
  <c r="Y5" i="33"/>
  <c r="AK5" i="33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I17" i="31"/>
  <c r="AH17" i="31"/>
  <c r="AG17" i="31"/>
  <c r="AF17" i="31"/>
  <c r="AE17" i="31"/>
  <c r="AD17" i="31"/>
  <c r="AC17" i="31"/>
  <c r="AB17" i="31"/>
  <c r="AA17" i="31"/>
  <c r="Z17" i="31"/>
  <c r="Y17" i="31"/>
  <c r="X17" i="31"/>
  <c r="AJ17" i="31"/>
  <c r="AI15" i="31"/>
  <c r="AH15" i="31"/>
  <c r="AG15" i="31"/>
  <c r="AF15" i="31"/>
  <c r="AE15" i="31"/>
  <c r="AD15" i="31"/>
  <c r="AC15" i="31"/>
  <c r="AB15" i="31"/>
  <c r="AA15" i="31"/>
  <c r="Z15" i="31"/>
  <c r="Y15" i="31"/>
  <c r="X15" i="31"/>
  <c r="AJ15" i="31"/>
  <c r="T13" i="31"/>
  <c r="S13" i="31"/>
  <c r="AH13" i="31" s="1"/>
  <c r="R13" i="31"/>
  <c r="Q13" i="31"/>
  <c r="AF13" i="31" s="1"/>
  <c r="O13" i="31"/>
  <c r="AE13" i="31" s="1"/>
  <c r="N13" i="31"/>
  <c r="AC13" i="31" s="1"/>
  <c r="M13" i="31"/>
  <c r="L13" i="31"/>
  <c r="K13" i="31"/>
  <c r="J13" i="31"/>
  <c r="I13" i="31"/>
  <c r="H13" i="31"/>
  <c r="G13" i="31"/>
  <c r="F13" i="31"/>
  <c r="E13" i="31"/>
  <c r="AI12" i="31"/>
  <c r="AH12" i="31"/>
  <c r="AG12" i="31"/>
  <c r="AF12" i="31"/>
  <c r="AE12" i="31"/>
  <c r="AD12" i="31"/>
  <c r="AC12" i="31"/>
  <c r="AB12" i="31"/>
  <c r="AA12" i="31"/>
  <c r="Z12" i="31"/>
  <c r="Y12" i="31"/>
  <c r="X12" i="31"/>
  <c r="AJ12" i="31"/>
  <c r="AI11" i="31"/>
  <c r="AH11" i="31"/>
  <c r="AG11" i="31"/>
  <c r="AF11" i="31"/>
  <c r="AE11" i="31"/>
  <c r="AD11" i="31"/>
  <c r="AC11" i="31"/>
  <c r="AB11" i="31"/>
  <c r="AA11" i="31"/>
  <c r="Z11" i="31"/>
  <c r="Y11" i="31"/>
  <c r="X11" i="31"/>
  <c r="AJ11" i="31"/>
  <c r="T10" i="31"/>
  <c r="AI10" i="31" s="1"/>
  <c r="S10" i="31"/>
  <c r="AH10" i="31" s="1"/>
  <c r="R10" i="31"/>
  <c r="Q10" i="31"/>
  <c r="AF10" i="31" s="1"/>
  <c r="O10" i="31"/>
  <c r="AD10" i="31" s="1"/>
  <c r="N10" i="31"/>
  <c r="M10" i="31"/>
  <c r="L10" i="31"/>
  <c r="K10" i="31"/>
  <c r="Z10" i="31" s="1"/>
  <c r="J10" i="31"/>
  <c r="Y10" i="31" s="1"/>
  <c r="I10" i="31"/>
  <c r="H10" i="31"/>
  <c r="G10" i="31"/>
  <c r="F10" i="31"/>
  <c r="E10" i="31"/>
  <c r="AI9" i="31"/>
  <c r="AH9" i="31"/>
  <c r="AG9" i="31"/>
  <c r="AF9" i="31"/>
  <c r="AE9" i="31"/>
  <c r="AD9" i="31"/>
  <c r="AC9" i="31"/>
  <c r="AB9" i="31"/>
  <c r="AA9" i="31"/>
  <c r="Z9" i="31"/>
  <c r="Y9" i="31"/>
  <c r="X9" i="31"/>
  <c r="AJ9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AJ8" i="31"/>
  <c r="AI7" i="31"/>
  <c r="AH7" i="31"/>
  <c r="AG7" i="31"/>
  <c r="AF7" i="31"/>
  <c r="AE7" i="31"/>
  <c r="AE26" i="31" s="1"/>
  <c r="AD7" i="31"/>
  <c r="AC7" i="31"/>
  <c r="AB7" i="31"/>
  <c r="AA7" i="31"/>
  <c r="Z7" i="31"/>
  <c r="Y7" i="31"/>
  <c r="X7" i="31"/>
  <c r="AJ7" i="31"/>
  <c r="AI6" i="31"/>
  <c r="AH6" i="31"/>
  <c r="AG6" i="31"/>
  <c r="AF6" i="31"/>
  <c r="AE6" i="31"/>
  <c r="AD6" i="31"/>
  <c r="AC6" i="31"/>
  <c r="AB6" i="31"/>
  <c r="AA6" i="31"/>
  <c r="Z6" i="31"/>
  <c r="Y6" i="31"/>
  <c r="X6" i="31"/>
  <c r="AJ6" i="31"/>
  <c r="AI5" i="31"/>
  <c r="AH5" i="31"/>
  <c r="AG5" i="31"/>
  <c r="AF5" i="31"/>
  <c r="AE5" i="31"/>
  <c r="AD5" i="31"/>
  <c r="AC5" i="31"/>
  <c r="AB5" i="31"/>
  <c r="AA5" i="31"/>
  <c r="Z5" i="31"/>
  <c r="Y5" i="31"/>
  <c r="X5" i="31"/>
  <c r="AJ5" i="31"/>
  <c r="AE25" i="31" l="1"/>
  <c r="AH10" i="33"/>
  <c r="AA16" i="35"/>
  <c r="Z10" i="34"/>
  <c r="Y18" i="34"/>
  <c r="AE11" i="36"/>
  <c r="AA10" i="34"/>
  <c r="Y17" i="34"/>
  <c r="AD10" i="35"/>
  <c r="Y18" i="35"/>
  <c r="E14" i="31"/>
  <c r="E16" i="31" s="1"/>
  <c r="E18" i="31" s="1"/>
  <c r="AA10" i="35"/>
  <c r="AF10" i="33"/>
  <c r="AH10" i="34"/>
  <c r="U18" i="35"/>
  <c r="F14" i="31"/>
  <c r="F16" i="31" s="1"/>
  <c r="F18" i="31" s="1"/>
  <c r="AJ17" i="35"/>
  <c r="Y18" i="36"/>
  <c r="G14" i="31"/>
  <c r="G16" i="31" s="1"/>
  <c r="G18" i="31" s="1"/>
  <c r="T14" i="31"/>
  <c r="T16" i="31" s="1"/>
  <c r="AI10" i="33"/>
  <c r="AB10" i="35"/>
  <c r="Y17" i="35"/>
  <c r="H14" i="31"/>
  <c r="H16" i="31" s="1"/>
  <c r="H18" i="31" s="1"/>
  <c r="AD25" i="31"/>
  <c r="N14" i="31"/>
  <c r="I14" i="31"/>
  <c r="AI17" i="35"/>
  <c r="Y18" i="33"/>
  <c r="AE10" i="35"/>
  <c r="AA10" i="33"/>
  <c r="Z16" i="33"/>
  <c r="Y17" i="33"/>
  <c r="AC10" i="34"/>
  <c r="AF10" i="35"/>
  <c r="AB10" i="33"/>
  <c r="Z17" i="33"/>
  <c r="AD10" i="34"/>
  <c r="AC10" i="33"/>
  <c r="AE10" i="34"/>
  <c r="AI11" i="36"/>
  <c r="AA18" i="33"/>
  <c r="Z18" i="34"/>
  <c r="Z17" i="35"/>
  <c r="AD16" i="34"/>
  <c r="Z18" i="36"/>
  <c r="Y26" i="31"/>
  <c r="AD17" i="34"/>
  <c r="AA18" i="36"/>
  <c r="Z26" i="31"/>
  <c r="AG10" i="31"/>
  <c r="J14" i="31"/>
  <c r="AG18" i="33"/>
  <c r="AF18" i="34"/>
  <c r="AE17" i="34"/>
  <c r="AB18" i="36"/>
  <c r="AG26" i="31"/>
  <c r="AB18" i="34"/>
  <c r="Y11" i="36"/>
  <c r="AH25" i="31"/>
  <c r="AB17" i="34"/>
  <c r="AA17" i="35"/>
  <c r="AE18" i="33"/>
  <c r="AA11" i="36"/>
  <c r="AE16" i="34"/>
  <c r="AE18" i="35"/>
  <c r="AA26" i="31"/>
  <c r="Z25" i="31"/>
  <c r="K14" i="31"/>
  <c r="S14" i="31"/>
  <c r="S16" i="31" s="1"/>
  <c r="AH16" i="31" s="1"/>
  <c r="AH18" i="33"/>
  <c r="AF17" i="34"/>
  <c r="AD18" i="34"/>
  <c r="AE17" i="35"/>
  <c r="AF11" i="36"/>
  <c r="AE19" i="36"/>
  <c r="AC18" i="36"/>
  <c r="AA10" i="31"/>
  <c r="AA17" i="33"/>
  <c r="AB10" i="31"/>
  <c r="Z17" i="36"/>
  <c r="AI26" i="31"/>
  <c r="AC10" i="31"/>
  <c r="AD18" i="33"/>
  <c r="AC17" i="34"/>
  <c r="AA18" i="35"/>
  <c r="AB17" i="36"/>
  <c r="AE17" i="33"/>
  <c r="AA25" i="31"/>
  <c r="L14" i="31"/>
  <c r="AI18" i="33"/>
  <c r="AH17" i="33"/>
  <c r="AI10" i="34"/>
  <c r="AH16" i="34"/>
  <c r="AI10" i="35"/>
  <c r="AG11" i="36"/>
  <c r="AJ19" i="36"/>
  <c r="AG13" i="31"/>
  <c r="AA18" i="34"/>
  <c r="Y19" i="36"/>
  <c r="AA17" i="34"/>
  <c r="M14" i="31"/>
  <c r="AC14" i="31" s="1"/>
  <c r="Y10" i="33"/>
  <c r="AI17" i="33"/>
  <c r="AA16" i="33"/>
  <c r="AJ10" i="34"/>
  <c r="AI18" i="34"/>
  <c r="AI16" i="35"/>
  <c r="AI18" i="35"/>
  <c r="AE18" i="36"/>
  <c r="Z18" i="35"/>
  <c r="Z17" i="34"/>
  <c r="AH26" i="31"/>
  <c r="AC18" i="34"/>
  <c r="AA17" i="36"/>
  <c r="AF18" i="33"/>
  <c r="AC26" i="31"/>
  <c r="AE10" i="31"/>
  <c r="AD26" i="31"/>
  <c r="AC25" i="31"/>
  <c r="X10" i="31"/>
  <c r="Z10" i="33"/>
  <c r="Y16" i="33"/>
  <c r="AE16" i="33"/>
  <c r="Y10" i="34"/>
  <c r="AI17" i="34"/>
  <c r="AF16" i="34"/>
  <c r="Y10" i="35"/>
  <c r="Y16" i="35"/>
  <c r="AH19" i="36"/>
  <c r="AG18" i="36"/>
  <c r="AF19" i="36"/>
  <c r="AH11" i="36"/>
  <c r="AG19" i="36"/>
  <c r="AD18" i="36"/>
  <c r="U11" i="36"/>
  <c r="AF18" i="36"/>
  <c r="U18" i="36"/>
  <c r="AJ11" i="36"/>
  <c r="AH18" i="36"/>
  <c r="AB11" i="36"/>
  <c r="AJ18" i="36"/>
  <c r="AC11" i="36"/>
  <c r="AB19" i="36"/>
  <c r="AF17" i="36"/>
  <c r="AD11" i="36"/>
  <c r="AC19" i="36"/>
  <c r="AD19" i="36"/>
  <c r="AB18" i="35"/>
  <c r="AC18" i="35"/>
  <c r="AD18" i="35"/>
  <c r="AB17" i="35"/>
  <c r="AC17" i="35"/>
  <c r="AF18" i="35"/>
  <c r="AD17" i="35"/>
  <c r="U10" i="35"/>
  <c r="AG18" i="35"/>
  <c r="AJ10" i="35"/>
  <c r="AH18" i="35"/>
  <c r="AF17" i="35"/>
  <c r="AC16" i="35"/>
  <c r="AK6" i="35"/>
  <c r="AK10" i="35" s="1"/>
  <c r="AG17" i="35"/>
  <c r="U16" i="35"/>
  <c r="AJ16" i="35"/>
  <c r="AH17" i="35"/>
  <c r="AG18" i="34"/>
  <c r="AG17" i="34"/>
  <c r="U10" i="34"/>
  <c r="AH17" i="34"/>
  <c r="AJ18" i="34"/>
  <c r="AJ17" i="34"/>
  <c r="AK8" i="34"/>
  <c r="AH18" i="34"/>
  <c r="AJ16" i="34"/>
  <c r="AJ17" i="33"/>
  <c r="AB18" i="33"/>
  <c r="AD10" i="33"/>
  <c r="AC16" i="33"/>
  <c r="AB17" i="33"/>
  <c r="AC17" i="33"/>
  <c r="AD17" i="33"/>
  <c r="AC18" i="33"/>
  <c r="AF17" i="33"/>
  <c r="AJ10" i="33"/>
  <c r="AG17" i="33"/>
  <c r="U18" i="33"/>
  <c r="AJ18" i="33"/>
  <c r="AB26" i="31"/>
  <c r="AB25" i="31"/>
  <c r="U10" i="31"/>
  <c r="AJ10" i="31" s="1"/>
  <c r="AF26" i="31"/>
  <c r="AF25" i="31"/>
  <c r="AG25" i="31"/>
  <c r="X26" i="31"/>
  <c r="AJ25" i="31"/>
  <c r="AI25" i="31"/>
  <c r="X25" i="31"/>
  <c r="Y24" i="31"/>
  <c r="Y25" i="31"/>
  <c r="AG24" i="31"/>
  <c r="X14" i="31"/>
  <c r="I16" i="31"/>
  <c r="AA14" i="31"/>
  <c r="L16" i="31"/>
  <c r="Y14" i="31"/>
  <c r="J16" i="31"/>
  <c r="AK17" i="33"/>
  <c r="Z14" i="31"/>
  <c r="K16" i="31"/>
  <c r="AJ26" i="31"/>
  <c r="AJ24" i="31"/>
  <c r="AK17" i="36"/>
  <c r="Z19" i="36"/>
  <c r="U13" i="31"/>
  <c r="AI13" i="31"/>
  <c r="O14" i="31"/>
  <c r="AH24" i="31"/>
  <c r="U10" i="33"/>
  <c r="AB16" i="33"/>
  <c r="Z18" i="33"/>
  <c r="AG16" i="34"/>
  <c r="AE18" i="34"/>
  <c r="AG10" i="35"/>
  <c r="Z16" i="35"/>
  <c r="AJ18" i="35"/>
  <c r="AC17" i="36"/>
  <c r="AA19" i="36"/>
  <c r="X13" i="31"/>
  <c r="Q14" i="31"/>
  <c r="U24" i="31"/>
  <c r="AI24" i="31"/>
  <c r="U26" i="31"/>
  <c r="AK7" i="33"/>
  <c r="AK10" i="33" s="1"/>
  <c r="AH10" i="35"/>
  <c r="AK8" i="36"/>
  <c r="AK18" i="36" s="1"/>
  <c r="AD17" i="36"/>
  <c r="Y13" i="31"/>
  <c r="R14" i="31"/>
  <c r="X24" i="31"/>
  <c r="AD16" i="33"/>
  <c r="U17" i="33"/>
  <c r="U16" i="34"/>
  <c r="AI16" i="34"/>
  <c r="AB16" i="35"/>
  <c r="Z11" i="36"/>
  <c r="AE17" i="36"/>
  <c r="Z13" i="31"/>
  <c r="U10" i="32"/>
  <c r="AA13" i="31"/>
  <c r="AH14" i="31"/>
  <c r="Z24" i="31"/>
  <c r="AF16" i="33"/>
  <c r="Y16" i="34"/>
  <c r="U18" i="34"/>
  <c r="AD16" i="35"/>
  <c r="U17" i="35"/>
  <c r="AG17" i="36"/>
  <c r="AB13" i="31"/>
  <c r="AA24" i="31"/>
  <c r="U19" i="32"/>
  <c r="AG16" i="33"/>
  <c r="AK6" i="34"/>
  <c r="Z16" i="34"/>
  <c r="AE16" i="35"/>
  <c r="AH17" i="36"/>
  <c r="N16" i="31"/>
  <c r="AB24" i="31"/>
  <c r="AH16" i="33"/>
  <c r="AA16" i="34"/>
  <c r="AF16" i="35"/>
  <c r="U17" i="36"/>
  <c r="AI17" i="36"/>
  <c r="AD13" i="31"/>
  <c r="AC24" i="31"/>
  <c r="U25" i="31"/>
  <c r="U16" i="33"/>
  <c r="AI16" i="33"/>
  <c r="AB16" i="34"/>
  <c r="AG16" i="35"/>
  <c r="AJ17" i="36"/>
  <c r="AD24" i="31"/>
  <c r="AJ16" i="33"/>
  <c r="AC16" i="34"/>
  <c r="AH16" i="35"/>
  <c r="Y17" i="36"/>
  <c r="U19" i="36"/>
  <c r="AE24" i="31"/>
  <c r="U17" i="34"/>
  <c r="AF24" i="31"/>
  <c r="AK17" i="35" l="1"/>
  <c r="S18" i="31"/>
  <c r="AH18" i="31" s="1"/>
  <c r="AI14" i="31"/>
  <c r="M16" i="31"/>
  <c r="AB16" i="31" s="1"/>
  <c r="AB14" i="31"/>
  <c r="AK19" i="36"/>
  <c r="AK18" i="35"/>
  <c r="AK16" i="35"/>
  <c r="AK10" i="34"/>
  <c r="T18" i="31"/>
  <c r="AI16" i="31"/>
  <c r="AK11" i="36"/>
  <c r="J18" i="31"/>
  <c r="Y16" i="31"/>
  <c r="AK16" i="34"/>
  <c r="R16" i="31"/>
  <c r="AG14" i="31"/>
  <c r="O16" i="31"/>
  <c r="AE14" i="31"/>
  <c r="AD14" i="31"/>
  <c r="AK18" i="34"/>
  <c r="L18" i="31"/>
  <c r="AA16" i="31"/>
  <c r="U14" i="31"/>
  <c r="AJ13" i="31"/>
  <c r="K18" i="31"/>
  <c r="Z18" i="31" s="1"/>
  <c r="Z16" i="31"/>
  <c r="I18" i="31"/>
  <c r="X18" i="31" s="1"/>
  <c r="X16" i="31"/>
  <c r="Q16" i="31"/>
  <c r="AF14" i="31"/>
  <c r="N18" i="31"/>
  <c r="AK16" i="33"/>
  <c r="AK18" i="33"/>
  <c r="AK17" i="34"/>
  <c r="AC16" i="31" l="1"/>
  <c r="AI18" i="31"/>
  <c r="M18" i="31"/>
  <c r="AB18" i="31" s="1"/>
  <c r="AE16" i="31"/>
  <c r="AD16" i="31"/>
  <c r="O18" i="31"/>
  <c r="Y18" i="31"/>
  <c r="AJ14" i="31"/>
  <c r="U16" i="31"/>
  <c r="AF16" i="31"/>
  <c r="Q18" i="31"/>
  <c r="AF18" i="31" s="1"/>
  <c r="AG16" i="31"/>
  <c r="R18" i="31"/>
  <c r="AA18" i="31"/>
  <c r="AC18" i="31" l="1"/>
  <c r="AG18" i="31"/>
  <c r="AE18" i="31"/>
  <c r="AD18" i="31"/>
  <c r="U18" i="31"/>
  <c r="AJ16" i="31"/>
  <c r="AJ18" i="31" l="1"/>
  <c r="H10" i="13"/>
  <c r="G10" i="13"/>
  <c r="F10" i="13"/>
  <c r="E10" i="13"/>
  <c r="J9" i="13"/>
  <c r="J8" i="13"/>
  <c r="J7" i="13"/>
  <c r="J6" i="13"/>
  <c r="I10" i="13" l="1"/>
  <c r="J10" i="13" s="1"/>
  <c r="I19" i="13" l="1"/>
  <c r="I28" i="13"/>
  <c r="J37" i="13"/>
  <c r="J36" i="13"/>
  <c r="J35" i="13"/>
  <c r="J34" i="13"/>
  <c r="J33" i="13"/>
  <c r="J27" i="13"/>
  <c r="J26" i="13"/>
  <c r="J25" i="13"/>
  <c r="J24" i="13"/>
  <c r="J18" i="13"/>
  <c r="J17" i="13"/>
  <c r="J16" i="13"/>
  <c r="J15" i="13"/>
  <c r="K16" i="25"/>
  <c r="K6" i="25"/>
  <c r="L6" i="30"/>
  <c r="L5" i="30"/>
  <c r="L6" i="29"/>
  <c r="L5" i="29"/>
  <c r="L6" i="28"/>
  <c r="L5" i="28"/>
  <c r="L6" i="14"/>
  <c r="M16" i="25" l="1"/>
  <c r="N6" i="25"/>
  <c r="M6" i="25"/>
  <c r="L6" i="25"/>
  <c r="I13" i="25"/>
  <c r="G26" i="25"/>
  <c r="H25" i="25"/>
  <c r="F13" i="25"/>
  <c r="I26" i="25"/>
  <c r="J6" i="28"/>
  <c r="H13" i="25"/>
  <c r="M5" i="14"/>
  <c r="M5" i="28"/>
  <c r="O6" i="14"/>
  <c r="F26" i="25"/>
  <c r="I27" i="25"/>
  <c r="L5" i="14"/>
  <c r="N5" i="14"/>
  <c r="M6" i="28"/>
  <c r="M6" i="30"/>
  <c r="G25" i="25"/>
  <c r="H16" i="30"/>
  <c r="G13" i="25"/>
  <c r="H27" i="25"/>
  <c r="M6" i="14"/>
  <c r="O5" i="28"/>
  <c r="G15" i="28"/>
  <c r="F27" i="25"/>
  <c r="H16" i="28"/>
  <c r="I16" i="14"/>
  <c r="N6" i="30"/>
  <c r="I25" i="25"/>
  <c r="I10" i="25"/>
  <c r="H26" i="25"/>
  <c r="H10" i="25"/>
  <c r="H15" i="25" s="1"/>
  <c r="H17" i="25" s="1"/>
  <c r="H19" i="25" s="1"/>
  <c r="G10" i="25"/>
  <c r="G27" i="25"/>
  <c r="L16" i="25"/>
  <c r="F10" i="25"/>
  <c r="F25" i="25"/>
  <c r="N6" i="29"/>
  <c r="O6" i="29"/>
  <c r="N5" i="30"/>
  <c r="O5" i="30"/>
  <c r="E16" i="30"/>
  <c r="H16" i="29"/>
  <c r="N6" i="28"/>
  <c r="L7" i="14"/>
  <c r="L15" i="14" s="1"/>
  <c r="O5" i="29"/>
  <c r="E26" i="25"/>
  <c r="H15" i="14"/>
  <c r="G16" i="14"/>
  <c r="H15" i="30"/>
  <c r="E16" i="29"/>
  <c r="N5" i="28"/>
  <c r="I15" i="28"/>
  <c r="E16" i="28"/>
  <c r="F16" i="28"/>
  <c r="F16" i="30"/>
  <c r="M5" i="30"/>
  <c r="G16" i="28"/>
  <c r="N5" i="29"/>
  <c r="I16" i="29"/>
  <c r="M6" i="29"/>
  <c r="M5" i="29"/>
  <c r="E13" i="25"/>
  <c r="E10" i="25"/>
  <c r="E27" i="25"/>
  <c r="N16" i="25"/>
  <c r="H16" i="14"/>
  <c r="O6" i="30"/>
  <c r="J5" i="30"/>
  <c r="J6" i="30"/>
  <c r="J5" i="29"/>
  <c r="J6" i="29"/>
  <c r="O6" i="28"/>
  <c r="J5" i="28"/>
  <c r="J5" i="14"/>
  <c r="J6" i="14"/>
  <c r="O5" i="14"/>
  <c r="N6" i="14"/>
  <c r="I15" i="25" l="1"/>
  <c r="O7" i="28"/>
  <c r="N8" i="30"/>
  <c r="N16" i="30" s="1"/>
  <c r="G9" i="29"/>
  <c r="E9" i="29"/>
  <c r="E15" i="25"/>
  <c r="E17" i="25" s="1"/>
  <c r="G15" i="25"/>
  <c r="G17" i="25" s="1"/>
  <c r="G19" i="25" s="1"/>
  <c r="E9" i="30"/>
  <c r="N8" i="14"/>
  <c r="N16" i="14" s="1"/>
  <c r="N8" i="28"/>
  <c r="N16" i="28" s="1"/>
  <c r="F15" i="14"/>
  <c r="I9" i="29"/>
  <c r="G16" i="30"/>
  <c r="J8" i="14"/>
  <c r="G9" i="30"/>
  <c r="O8" i="14"/>
  <c r="O16" i="14" s="1"/>
  <c r="G17" i="30"/>
  <c r="E15" i="29"/>
  <c r="G9" i="28"/>
  <c r="M8" i="28"/>
  <c r="M16" i="28" s="1"/>
  <c r="H9" i="29"/>
  <c r="M7" i="30"/>
  <c r="M15" i="30" s="1"/>
  <c r="G15" i="30"/>
  <c r="H17" i="14"/>
  <c r="G17" i="28"/>
  <c r="I17" i="28"/>
  <c r="E9" i="28"/>
  <c r="L10" i="25"/>
  <c r="K10" i="25"/>
  <c r="F15" i="25"/>
  <c r="I17" i="25"/>
  <c r="I19" i="25" s="1"/>
  <c r="N15" i="25"/>
  <c r="F9" i="29"/>
  <c r="J16" i="29"/>
  <c r="N7" i="30"/>
  <c r="N17" i="30" s="1"/>
  <c r="N8" i="29"/>
  <c r="N16" i="29" s="1"/>
  <c r="L8" i="28"/>
  <c r="L16" i="28" s="1"/>
  <c r="H9" i="14"/>
  <c r="F17" i="14"/>
  <c r="E17" i="14"/>
  <c r="O7" i="14"/>
  <c r="O15" i="14" s="1"/>
  <c r="H17" i="30"/>
  <c r="E16" i="14"/>
  <c r="J16" i="14" s="1"/>
  <c r="E17" i="29"/>
  <c r="J8" i="29"/>
  <c r="O8" i="29"/>
  <c r="O16" i="29" s="1"/>
  <c r="F9" i="30"/>
  <c r="L8" i="30"/>
  <c r="L16" i="30" s="1"/>
  <c r="M8" i="30"/>
  <c r="M16" i="30" s="1"/>
  <c r="H9" i="30"/>
  <c r="E15" i="30"/>
  <c r="E17" i="30"/>
  <c r="J8" i="28"/>
  <c r="J7" i="28"/>
  <c r="I9" i="28"/>
  <c r="J9" i="28" s="1"/>
  <c r="E15" i="28"/>
  <c r="J15" i="28" s="1"/>
  <c r="E17" i="28"/>
  <c r="I16" i="28"/>
  <c r="J16" i="28" s="1"/>
  <c r="O8" i="28"/>
  <c r="O9" i="28" s="1"/>
  <c r="M8" i="14"/>
  <c r="M16" i="14" s="1"/>
  <c r="I15" i="30"/>
  <c r="J7" i="30"/>
  <c r="I17" i="30"/>
  <c r="O7" i="30"/>
  <c r="I9" i="30"/>
  <c r="O8" i="30"/>
  <c r="O16" i="30" s="1"/>
  <c r="I16" i="30"/>
  <c r="J16" i="30" s="1"/>
  <c r="J8" i="30"/>
  <c r="F15" i="30"/>
  <c r="F17" i="30"/>
  <c r="L7" i="30"/>
  <c r="F17" i="29"/>
  <c r="L7" i="29"/>
  <c r="F15" i="29"/>
  <c r="H15" i="29"/>
  <c r="H17" i="29"/>
  <c r="N7" i="29"/>
  <c r="G16" i="29"/>
  <c r="M8" i="29"/>
  <c r="M16" i="29" s="1"/>
  <c r="M7" i="29"/>
  <c r="G17" i="29"/>
  <c r="G15" i="29"/>
  <c r="F16" i="29"/>
  <c r="L8" i="29"/>
  <c r="L16" i="29" s="1"/>
  <c r="I15" i="29"/>
  <c r="J7" i="29"/>
  <c r="I17" i="29"/>
  <c r="O7" i="29"/>
  <c r="F17" i="28"/>
  <c r="L7" i="28"/>
  <c r="F15" i="28"/>
  <c r="H15" i="28"/>
  <c r="H9" i="28"/>
  <c r="H17" i="28"/>
  <c r="N7" i="28"/>
  <c r="M7" i="28"/>
  <c r="F9" i="28"/>
  <c r="O15" i="28"/>
  <c r="I17" i="14"/>
  <c r="I15" i="14"/>
  <c r="I9" i="14"/>
  <c r="F9" i="14"/>
  <c r="G15" i="14"/>
  <c r="M7" i="14"/>
  <c r="G17" i="14"/>
  <c r="G9" i="14"/>
  <c r="F16" i="14"/>
  <c r="L8" i="14"/>
  <c r="N7" i="14"/>
  <c r="N15" i="14" s="1"/>
  <c r="E9" i="14"/>
  <c r="J7" i="14"/>
  <c r="E15" i="14"/>
  <c r="J9" i="29" l="1"/>
  <c r="N9" i="30"/>
  <c r="J9" i="30"/>
  <c r="L15" i="25"/>
  <c r="M15" i="25"/>
  <c r="J17" i="29"/>
  <c r="O17" i="14"/>
  <c r="M17" i="30"/>
  <c r="O16" i="28"/>
  <c r="M9" i="30"/>
  <c r="O9" i="14"/>
  <c r="J17" i="14"/>
  <c r="J15" i="29"/>
  <c r="J17" i="28"/>
  <c r="J17" i="30"/>
  <c r="N9" i="14"/>
  <c r="F17" i="25"/>
  <c r="F19" i="25" s="1"/>
  <c r="K15" i="25"/>
  <c r="J15" i="30"/>
  <c r="N15" i="30"/>
  <c r="O17" i="28"/>
  <c r="O9" i="30"/>
  <c r="M18" i="25"/>
  <c r="N18" i="25"/>
  <c r="J15" i="14"/>
  <c r="L17" i="30"/>
  <c r="L15" i="30"/>
  <c r="L9" i="30"/>
  <c r="O15" i="30"/>
  <c r="O17" i="30"/>
  <c r="N17" i="29"/>
  <c r="N15" i="29"/>
  <c r="N9" i="29"/>
  <c r="O17" i="29"/>
  <c r="O15" i="29"/>
  <c r="O9" i="29"/>
  <c r="M17" i="29"/>
  <c r="M15" i="29"/>
  <c r="M9" i="29"/>
  <c r="L15" i="29"/>
  <c r="L17" i="29"/>
  <c r="L9" i="29"/>
  <c r="M17" i="28"/>
  <c r="M15" i="28"/>
  <c r="M9" i="28"/>
  <c r="L17" i="28"/>
  <c r="L15" i="28"/>
  <c r="L9" i="28"/>
  <c r="N17" i="28"/>
  <c r="N15" i="28"/>
  <c r="N9" i="28"/>
  <c r="J9" i="14"/>
  <c r="N17" i="14"/>
  <c r="L16" i="14"/>
  <c r="L17" i="14"/>
  <c r="L9" i="14"/>
  <c r="M15" i="14"/>
  <c r="M17" i="14"/>
  <c r="M9" i="14"/>
  <c r="K17" i="25" l="1"/>
  <c r="K14" i="25"/>
  <c r="J26" i="23"/>
  <c r="J25" i="23"/>
  <c r="J20" i="23"/>
  <c r="J9" i="23"/>
  <c r="J53" i="19"/>
  <c r="K51" i="19" s="1"/>
  <c r="J36" i="19"/>
  <c r="K30" i="19" s="1"/>
  <c r="J13" i="19"/>
  <c r="J6" i="19"/>
  <c r="G28" i="13"/>
  <c r="G19" i="13"/>
  <c r="L7" i="25"/>
  <c r="L8" i="25"/>
  <c r="L9" i="25"/>
  <c r="L11" i="25"/>
  <c r="L12" i="25"/>
  <c r="L18" i="25"/>
  <c r="L5" i="25"/>
  <c r="F28" i="13"/>
  <c r="F19" i="13"/>
  <c r="K12" i="25"/>
  <c r="K9" i="25"/>
  <c r="K18" i="25"/>
  <c r="K13" i="25"/>
  <c r="K7" i="25"/>
  <c r="K5" i="25"/>
  <c r="L26" i="25" l="1"/>
  <c r="K26" i="25"/>
  <c r="L27" i="25"/>
  <c r="L25" i="25"/>
  <c r="L14" i="25"/>
  <c r="L17" i="25"/>
  <c r="L13" i="25"/>
  <c r="K33" i="19"/>
  <c r="J5" i="19"/>
  <c r="J22" i="19" s="1"/>
  <c r="K46" i="19"/>
  <c r="K45" i="19"/>
  <c r="K32" i="19"/>
  <c r="K31" i="19"/>
  <c r="K44" i="19"/>
  <c r="K52" i="19"/>
  <c r="K34" i="19"/>
  <c r="K47" i="19"/>
  <c r="K35" i="19"/>
  <c r="K48" i="19"/>
  <c r="K49" i="19"/>
  <c r="K42" i="19"/>
  <c r="K50" i="19"/>
  <c r="K43" i="19"/>
  <c r="K8" i="25"/>
  <c r="K11" i="25"/>
  <c r="K27" i="25" l="1"/>
  <c r="K25" i="25"/>
  <c r="K53" i="19"/>
  <c r="K36" i="19"/>
  <c r="K14" i="19"/>
  <c r="K6" i="19"/>
  <c r="K8" i="19"/>
  <c r="K21" i="19"/>
  <c r="K13" i="19"/>
  <c r="K20" i="19"/>
  <c r="K12" i="19"/>
  <c r="K9" i="19"/>
  <c r="K19" i="19"/>
  <c r="K11" i="19"/>
  <c r="K17" i="19"/>
  <c r="K18" i="19"/>
  <c r="K10" i="19"/>
  <c r="J24" i="19"/>
  <c r="K15" i="19"/>
  <c r="K7" i="19"/>
  <c r="K16" i="19"/>
  <c r="K5" i="19"/>
  <c r="K22" i="19" l="1"/>
  <c r="K19" i="25"/>
  <c r="L19" i="25" l="1"/>
  <c r="I26" i="23"/>
  <c r="I25" i="23"/>
  <c r="I20" i="23"/>
  <c r="I9" i="23"/>
  <c r="I53" i="19"/>
  <c r="I36" i="19"/>
  <c r="I13" i="19"/>
  <c r="I6" i="19"/>
  <c r="E28" i="13"/>
  <c r="J28" i="13" s="1"/>
  <c r="E19" i="13"/>
  <c r="J19" i="13" s="1"/>
  <c r="E25" i="25"/>
  <c r="I5" i="19" l="1"/>
  <c r="I22" i="19" s="1"/>
  <c r="I24" i="19" s="1"/>
  <c r="E19" i="25" l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N9" i="25" l="1"/>
  <c r="N8" i="25"/>
  <c r="M9" i="25" l="1"/>
  <c r="M8" i="25"/>
  <c r="N11" i="25"/>
  <c r="H28" i="13"/>
  <c r="H19" i="13"/>
  <c r="M10" i="25" l="1"/>
  <c r="N10" i="25"/>
  <c r="M12" i="25"/>
  <c r="N12" i="25"/>
  <c r="M5" i="25"/>
  <c r="N5" i="25"/>
  <c r="N7" i="25"/>
  <c r="M7" i="25"/>
  <c r="M26" i="25" s="1"/>
  <c r="M11" i="25"/>
  <c r="M25" i="25" l="1"/>
  <c r="N27" i="25"/>
  <c r="N25" i="25"/>
  <c r="N26" i="25"/>
  <c r="M27" i="25"/>
  <c r="N13" i="25"/>
  <c r="M13" i="25"/>
  <c r="M14" i="25" l="1"/>
  <c r="N14" i="25"/>
  <c r="M17" i="25" l="1"/>
  <c r="N17" i="25"/>
  <c r="M19" i="25"/>
  <c r="N19" i="25"/>
  <c r="AL10" i="36" l="1"/>
  <c r="AL9" i="35" l="1"/>
  <c r="W9" i="35"/>
  <c r="W8" i="32"/>
  <c r="W6" i="35"/>
  <c r="AL6" i="35"/>
  <c r="AL10" i="35" s="1"/>
  <c r="V10" i="35"/>
  <c r="W10" i="35" s="1"/>
  <c r="W8" i="36"/>
  <c r="AL8" i="36"/>
  <c r="V16" i="35"/>
  <c r="W16" i="35" s="1"/>
  <c r="V18" i="35"/>
  <c r="W18" i="35" s="1"/>
  <c r="AL7" i="35"/>
  <c r="W7" i="35"/>
  <c r="W9" i="32"/>
  <c r="W9" i="34"/>
  <c r="AL9" i="34"/>
  <c r="W6" i="36"/>
  <c r="AL6" i="36"/>
  <c r="W18" i="32"/>
  <c r="W8" i="33"/>
  <c r="V17" i="33"/>
  <c r="W17" i="33" s="1"/>
  <c r="AL8" i="33"/>
  <c r="W7" i="32"/>
  <c r="W8" i="34"/>
  <c r="V17" i="34"/>
  <c r="W17" i="34" s="1"/>
  <c r="AL8" i="34"/>
  <c r="W6" i="34"/>
  <c r="V10" i="34"/>
  <c r="W10" i="34" s="1"/>
  <c r="AL6" i="34"/>
  <c r="V17" i="35"/>
  <c r="W17" i="35" s="1"/>
  <c r="W8" i="35"/>
  <c r="AL8" i="35"/>
  <c r="W7" i="34"/>
  <c r="V18" i="34"/>
  <c r="W18" i="34" s="1"/>
  <c r="V16" i="34"/>
  <c r="W16" i="34" s="1"/>
  <c r="AL7" i="34"/>
  <c r="W6" i="33"/>
  <c r="AL6" i="33"/>
  <c r="W9" i="33"/>
  <c r="AL9" i="33"/>
  <c r="W17" i="32"/>
  <c r="W25" i="32"/>
  <c r="W16" i="32"/>
  <c r="W24" i="32"/>
  <c r="W5" i="36" l="1"/>
  <c r="AL5" i="36"/>
  <c r="AL17" i="33"/>
  <c r="W7" i="33"/>
  <c r="V16" i="33"/>
  <c r="W16" i="33" s="1"/>
  <c r="V18" i="33"/>
  <c r="W18" i="33" s="1"/>
  <c r="AL7" i="33"/>
  <c r="W5" i="34"/>
  <c r="AL5" i="34"/>
  <c r="AL17" i="35"/>
  <c r="AL16" i="35"/>
  <c r="AL18" i="35"/>
  <c r="AL18" i="34"/>
  <c r="AL16" i="34"/>
  <c r="W6" i="32"/>
  <c r="V10" i="32"/>
  <c r="W10" i="32" s="1"/>
  <c r="W5" i="35"/>
  <c r="AL5" i="35"/>
  <c r="W5" i="33"/>
  <c r="AL5" i="33"/>
  <c r="AL7" i="36"/>
  <c r="V19" i="36"/>
  <c r="W19" i="36" s="1"/>
  <c r="V17" i="36"/>
  <c r="W17" i="36" s="1"/>
  <c r="W7" i="36"/>
  <c r="AL10" i="34"/>
  <c r="V11" i="36"/>
  <c r="W11" i="36" s="1"/>
  <c r="V10" i="33"/>
  <c r="W10" i="33" s="1"/>
  <c r="W9" i="36"/>
  <c r="AL9" i="36"/>
  <c r="AL18" i="36" s="1"/>
  <c r="V18" i="36"/>
  <c r="W18" i="36" s="1"/>
  <c r="W15" i="32"/>
  <c r="V19" i="32"/>
  <c r="W19" i="32" s="1"/>
  <c r="W27" i="32"/>
  <c r="AL10" i="33"/>
  <c r="AL17" i="34"/>
  <c r="W26" i="32"/>
  <c r="AL16" i="33" l="1"/>
  <c r="AL18" i="33"/>
  <c r="AL17" i="36"/>
  <c r="AL19" i="36"/>
  <c r="AL11" i="36"/>
  <c r="AK17" i="31" l="1"/>
  <c r="AK12" i="31"/>
  <c r="AK9" i="31"/>
  <c r="AK5" i="31"/>
  <c r="AK6" i="31" l="1"/>
  <c r="V10" i="31"/>
  <c r="AK7" i="31"/>
  <c r="V26" i="31"/>
  <c r="V24" i="31"/>
  <c r="V25" i="31"/>
  <c r="AK8" i="31"/>
  <c r="AK25" i="31" s="1"/>
  <c r="W28" i="32"/>
  <c r="AK15" i="31"/>
  <c r="AK24" i="31" l="1"/>
  <c r="AK26" i="31"/>
  <c r="AK10" i="31"/>
  <c r="V13" i="31"/>
  <c r="AK13" i="31" s="1"/>
  <c r="AK11" i="31"/>
  <c r="V14" i="31" l="1"/>
  <c r="V16" i="31" l="1"/>
  <c r="AK14" i="31"/>
  <c r="V18" i="31" l="1"/>
  <c r="AK18" i="31" s="1"/>
  <c r="AK16" i="31"/>
</calcChain>
</file>

<file path=xl/sharedStrings.xml><?xml version="1.0" encoding="utf-8"?>
<sst xmlns="http://schemas.openxmlformats.org/spreadsheetml/2006/main" count="894" uniqueCount="196">
  <si>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</si>
  <si>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</si>
  <si>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</si>
  <si>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</si>
  <si>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</si>
  <si>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</si>
  <si>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</si>
  <si>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</si>
  <si>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</si>
  <si>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</si>
  <si>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</si>
  <si>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</si>
  <si>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</si>
  <si>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</si>
  <si>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</si>
  <si>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</si>
  <si>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</si>
  <si>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</si>
  <si>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</si>
  <si>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</si>
  <si>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</si>
  <si>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</si>
  <si>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</si>
  <si>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</si>
  <si>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</si>
  <si>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</si>
  <si>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</si>
  <si>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</si>
  <si>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</si>
  <si>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Miles de euros</t>
  </si>
  <si>
    <t>Miles de euros, ratios en %</t>
  </si>
  <si>
    <t>SOLVENCIA</t>
  </si>
  <si>
    <t>CARTERA DE INVERSIONES</t>
  </si>
  <si>
    <t>BALANCE - NIIF 17&amp;9</t>
  </si>
  <si>
    <t>TRIMESTRES ESTANCOS</t>
  </si>
  <si>
    <t>RESULTADO TÉCNICO</t>
  </si>
  <si>
    <t>RATIO COMBINADO</t>
  </si>
  <si>
    <t>Siniestralidad del ejercicio, neta de reaseguro</t>
  </si>
  <si>
    <t>Gastos de explotación netos</t>
  </si>
  <si>
    <t>Ratio de siniestralidad</t>
  </si>
  <si>
    <t>Ratio de gastos</t>
  </si>
  <si>
    <t>1T 2023</t>
  </si>
  <si>
    <t>PASIVO Y PATRIMONIO NETO</t>
  </si>
  <si>
    <t>TOTAL PASIVO</t>
  </si>
  <si>
    <t>Fondos propios</t>
  </si>
  <si>
    <t>TOTAL PATRIMONIO NETO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</si>
  <si>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</si>
  <si>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</si>
  <si>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</si>
  <si>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</si>
  <si>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</si>
  <si>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</si>
  <si>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</si>
  <si>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</si>
  <si>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</si>
  <si>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</si>
  <si>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</si>
  <si>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</si>
  <si>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</si>
  <si>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</si>
  <si>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</si>
  <si>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</si>
  <si>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</si>
  <si>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</si>
  <si>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</si>
  <si>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</si>
  <si>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</si>
  <si>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</si>
  <si>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</si>
  <si>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</si>
  <si>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Utilidades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</si>
  <si>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</si>
  <si>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</si>
  <si>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</si>
  <si>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</si>
  <si>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</si>
  <si>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</si>
  <si>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</si>
  <si>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</si>
  <si>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</si>
  <si>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</si>
  <si>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</si>
  <si>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</si>
  <si>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</si>
  <si>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</si>
  <si>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</si>
  <si>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</si>
  <si>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</si>
  <si>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6M 2023</t>
  </si>
  <si>
    <t>2T 2023</t>
  </si>
  <si>
    <t>INGRESOS DE LAS ACTIVIDADES ORDINARIAS DE SEGUROS</t>
  </si>
  <si>
    <t>RESULTADO NETO DE LAS INVERSIONES</t>
  </si>
  <si>
    <t>9M 2023</t>
  </si>
  <si>
    <t>3T 2023</t>
  </si>
  <si>
    <t>4T 2023</t>
  </si>
  <si>
    <t>12M 2023</t>
  </si>
  <si>
    <t>PRIMAS EMITIDAS</t>
  </si>
  <si>
    <t>INGRESOS DE LAS ACTIVIDADES ORDINARIAS DE SEGUROS, NETOS DE REASEGURO</t>
  </si>
  <si>
    <t>Ingresos financieros</t>
  </si>
  <si>
    <t>Gastos financieros</t>
  </si>
  <si>
    <t>RESULTADO ANTES DE IMPUESTOS (BAI)</t>
  </si>
  <si>
    <t>RESULTADO DESPUÉS DE IMPUESTOS</t>
  </si>
  <si>
    <t>Impuestos</t>
  </si>
  <si>
    <t>Resultado neto de seguros e inversiones</t>
  </si>
  <si>
    <t>Otros ingresos / gastos y gastos no asignables</t>
  </si>
  <si>
    <t>Interés acreditado</t>
  </si>
  <si>
    <t>INGRESOS DE SEGUROS</t>
  </si>
  <si>
    <t>CUENTA DE RESULTADOS - NIIF 17&amp;9</t>
  </si>
  <si>
    <t>LÍNEAS DE NEGOCIO - NIIF 17&amp;9</t>
  </si>
  <si>
    <t>MOTOR - NIIF 17&amp;9</t>
  </si>
  <si>
    <t>HOGAR - NIIF 17&amp;9</t>
  </si>
  <si>
    <t>SALUD - NIIF 17&amp;9</t>
  </si>
  <si>
    <t>OTROS - NIIF 17&amp;9</t>
  </si>
  <si>
    <t>NIIF 4</t>
  </si>
  <si>
    <t>CUENTA DE RESULTADOS - NIIF 4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</si>
  <si>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</si>
  <si>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</si>
  <si>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</si>
  <si>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</si>
  <si>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</si>
  <si>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</si>
  <si>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</si>
  <si>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</si>
  <si>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</si>
  <si>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</si>
  <si>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</si>
  <si>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</si>
  <si>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</si>
  <si>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</si>
  <si>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</si>
  <si>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</si>
  <si>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</si>
  <si>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</si>
  <si>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</si>
  <si>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PRIMAS IMPUTADAS, NETAS DE REASEGURO</t>
  </si>
  <si>
    <t>Otros gastos e ingresos técnicos</t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</si>
  <si>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</si>
  <si>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</si>
  <si>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</si>
  <si>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</si>
  <si>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</si>
  <si>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</si>
  <si>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</si>
  <si>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</si>
  <si>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LÍNEAS DE NEGOCIO - NIIF 4</t>
  </si>
  <si>
    <t>MOTOR - NIIF 4</t>
  </si>
  <si>
    <t>HOGAR - NIIF 4</t>
  </si>
  <si>
    <t>SALUD - NIIF 4</t>
  </si>
  <si>
    <t>OTROS NEGOCIOS ASEGURADORES - NIIF 4</t>
  </si>
  <si>
    <t>Participación en beneficios</t>
  </si>
  <si>
    <t>Efectivo y otros activos líquidos equivalentes</t>
  </si>
  <si>
    <t>Activos financieros a valor razonable c/ cambios PyG</t>
  </si>
  <si>
    <t>Instrumentos de patrimonio</t>
  </si>
  <si>
    <t>Activos financieros a valor razonable c/ cambios PN</t>
  </si>
  <si>
    <t>Valores representativos de deuda</t>
  </si>
  <si>
    <t>Activos a coste amortizado</t>
  </si>
  <si>
    <t>Derivados de cobertura</t>
  </si>
  <si>
    <t>Activos por contratos de reaseguro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</si>
  <si>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</si>
  <si>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</si>
  <si>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</si>
  <si>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</si>
  <si>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</si>
  <si>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TOTAL ACTIVO</t>
  </si>
  <si>
    <t>Pasivos a coste amortizado</t>
  </si>
  <si>
    <t>Pasivos por contratos de seguro</t>
  </si>
  <si>
    <t>Provisiones no técnicas</t>
  </si>
  <si>
    <t>Otros pasivos</t>
  </si>
  <si>
    <t>Ajustes por cambio de valor</t>
  </si>
  <si>
    <t>Activos financieros valorados a FVTOCI</t>
  </si>
  <si>
    <t>OCI contratos de seguro</t>
  </si>
  <si>
    <t>OCI contratos de reaseguro</t>
  </si>
  <si>
    <t>TOTAL PASIVO Y PATRIMONIO NETO</t>
  </si>
  <si>
    <t>Pasivos por cobertura restante</t>
  </si>
  <si>
    <t>Pasivos por siniestros incurridos</t>
  </si>
  <si>
    <t>Ratio combinado (NIIF4 - NIIF17)</t>
  </si>
  <si>
    <t>IFRS 4</t>
  </si>
  <si>
    <t>IFRS 17</t>
  </si>
  <si>
    <t>RATIO COMBINADO (NIIF4 - NIIF17)</t>
  </si>
  <si>
    <t>Primas imputadas, netas de reaseguro</t>
  </si>
  <si>
    <t>Ingresos de seguros, netos de reaseguro</t>
  </si>
  <si>
    <t>Total siniestralidad</t>
  </si>
  <si>
    <t>Prestaciones pagadas, netas de reaseguro</t>
  </si>
  <si>
    <t>Gastos atribuibles a prestaciones</t>
  </si>
  <si>
    <t>Pérdidas en los contratos onerosos y ajustes</t>
  </si>
  <si>
    <t>Componente de pérdida recuperable reaseguro</t>
  </si>
  <si>
    <t>Var. efecto incumplimiento reasegurador</t>
  </si>
  <si>
    <t>RATIO DE SINIESTRALIDAD</t>
  </si>
  <si>
    <t>Total gastos</t>
  </si>
  <si>
    <t>Gastos de adquisición</t>
  </si>
  <si>
    <t>Gastos de administración</t>
  </si>
  <si>
    <t>Otros gastos técnicos</t>
  </si>
  <si>
    <t>Comisiones reaseguro</t>
  </si>
  <si>
    <t>RATIO DE GASTOS</t>
  </si>
  <si>
    <t>Variación de la provisión liquidación de convenio inocente</t>
  </si>
  <si>
    <t>Variación de la provisión, neta de reaseguro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</si>
</sst>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Futura Std Book"/>
      <family val="2"/>
    </font>
    <font>
      <sz val="11"/>
      <color theme="1"/>
      <name val="Futura Std Book"/>
      <family val="2"/>
    </font>
    <font>
      <b/>
      <sz val="9"/>
      <color theme="0"/>
      <name val="Futura Std Book"/>
      <family val="2"/>
    </font>
    <font>
      <b/>
      <sz val="10"/>
      <color theme="1" tint="0.34998626667073579"/>
      <name val="Futura Std Book"/>
      <family val="2"/>
    </font>
    <font>
      <sz val="10"/>
      <color theme="1" tint="0.34998626667073579"/>
      <name val="Futura Std Book"/>
      <family val="2"/>
    </font>
    <font>
      <b/>
      <sz val="10"/>
      <color rgb="FFC00000"/>
      <name val="Futura Std Book"/>
      <family val="2"/>
    </font>
    <font>
      <b/>
      <i/>
      <sz val="10"/>
      <color theme="1" tint="0.34998626667073579"/>
      <name val="Futura Std Book"/>
      <family val="2"/>
    </font>
    <font>
      <i/>
      <sz val="10"/>
      <color theme="1" tint="0.34998626667073579"/>
      <name val="Futura Std Book"/>
      <family val="2"/>
    </font>
    <font>
      <sz val="9"/>
      <color theme="1"/>
      <name val="Futura Std Book"/>
      <family val="2"/>
    </font>
    <font>
      <sz val="10"/>
      <color rgb="FF595959"/>
      <name val="Futura Std Book"/>
      <family val="2"/>
    </font>
    <font>
      <b/>
      <sz val="10"/>
      <name val="Futura Std Book"/>
      <family val="2"/>
    </font>
    <font>
      <sz val="10"/>
      <name val="Futura Std Book"/>
      <family val="2"/>
    </font>
    <font>
      <i/>
      <sz val="10"/>
      <name val="Futura Std Book"/>
      <family val="2"/>
    </font>
    <font>
      <b/>
      <sz val="11"/>
      <color rgb="FFC00000"/>
      <name val="Futura Std Book"/>
      <family val="2"/>
    </font>
    <font>
      <b/>
      <sz val="10"/>
      <color rgb="FFC9211E"/>
      <name val="Futura Std Book"/>
      <family val="2"/>
    </font>
    <font>
      <i/>
      <sz val="11"/>
      <color theme="1"/>
      <name val="Futura Std Book"/>
      <family val="2"/>
    </font>
    <font>
      <i/>
      <sz val="11"/>
      <color theme="1" tint="0.499984740745262"/>
      <name val="Futura Std Book"/>
      <family val="2"/>
    </font>
    <font>
      <i/>
      <sz val="10"/>
      <color rgb="FF595959"/>
      <name val="Futura Std Book"/>
      <family val="2"/>
    </font>
    <font>
      <sz val="10"/>
      <color rgb="FFC00000"/>
      <name val="Futura Std Book"/>
      <family val="2"/>
    </font>
    <font>
      <sz val="11"/>
      <color rgb="FFC00000"/>
      <name val="Futura Std Book"/>
      <family val="2"/>
    </font>
    <font>
      <sz val="11"/>
      <color theme="1"/>
      <name val="Arial"/>
      <family val="2"/>
    </font>
    <font>
      <b/>
      <sz val="9"/>
      <color theme="1" tint="0.34998626667073579"/>
      <name val="Futura Std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3" fillId="0" borderId="0"/>
    <xf numFmtId="0" fontId="1" fillId="0" borderId="0"/>
  </cellStyleXfs>
  <cellXfs count="174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/>
    </xf>
    <xf numFmtId="0" fontId="5" fillId="5" borderId="0" xfId="3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readingOrder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1" applyNumberFormat="1" applyFont="1" applyFill="1" applyBorder="1" applyAlignment="1">
      <alignment horizontal="right" vertical="center"/>
    </xf>
    <xf numFmtId="0" fontId="8" fillId="4" borderId="7" xfId="1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readingOrder="1"/>
    </xf>
    <xf numFmtId="164" fontId="9" fillId="0" borderId="0" xfId="2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164" fontId="10" fillId="0" borderId="0" xfId="2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 readingOrder="1"/>
    </xf>
    <xf numFmtId="166" fontId="6" fillId="0" borderId="2" xfId="1" applyNumberFormat="1" applyFont="1" applyFill="1" applyBorder="1" applyAlignment="1">
      <alignment horizontal="right" vertical="center"/>
    </xf>
    <xf numFmtId="166" fontId="6" fillId="4" borderId="9" xfId="1" applyNumberFormat="1" applyFont="1" applyFill="1" applyBorder="1" applyAlignment="1">
      <alignment horizontal="right" vertical="center"/>
    </xf>
    <xf numFmtId="164" fontId="9" fillId="2" borderId="2" xfId="2" applyNumberFormat="1" applyFont="1" applyFill="1" applyBorder="1" applyAlignment="1">
      <alignment horizontal="right" vertical="center"/>
    </xf>
    <xf numFmtId="164" fontId="7" fillId="0" borderId="0" xfId="2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1" xfId="1" applyNumberFormat="1" applyFont="1" applyFill="1" applyBorder="1" applyAlignment="1">
      <alignment horizontal="right" vertical="center"/>
    </xf>
    <xf numFmtId="164" fontId="7" fillId="4" borderId="8" xfId="2" applyNumberFormat="1" applyFont="1" applyFill="1" applyBorder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164" fontId="6" fillId="0" borderId="2" xfId="2" applyNumberFormat="1" applyFont="1" applyFill="1" applyBorder="1" applyAlignment="1">
      <alignment horizontal="right" vertical="center"/>
    </xf>
    <xf numFmtId="164" fontId="6" fillId="4" borderId="9" xfId="2" applyNumberFormat="1" applyFont="1" applyFill="1" applyBorder="1" applyAlignment="1">
      <alignment horizontal="right" vertical="center"/>
    </xf>
    <xf numFmtId="167" fontId="9" fillId="0" borderId="2" xfId="0" applyNumberFormat="1" applyFont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4" borderId="8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4" borderId="8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readingOrder="1"/>
    </xf>
    <xf numFmtId="14" fontId="6" fillId="0" borderId="1" xfId="1" applyNumberFormat="1" applyFont="1" applyFill="1" applyBorder="1" applyAlignment="1">
      <alignment horizontal="right" vertical="center"/>
    </xf>
    <xf numFmtId="14" fontId="8" fillId="4" borderId="7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vertical="center"/>
    </xf>
    <xf numFmtId="166" fontId="6" fillId="4" borderId="8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1" readingOrder="1"/>
    </xf>
    <xf numFmtId="166" fontId="7" fillId="0" borderId="0" xfId="1" applyNumberFormat="1" applyFont="1" applyFill="1" applyBorder="1" applyAlignment="1">
      <alignment vertical="center"/>
    </xf>
    <xf numFmtId="166" fontId="7" fillId="4" borderId="8" xfId="1" applyNumberFormat="1" applyFont="1" applyFill="1" applyBorder="1" applyAlignment="1">
      <alignment vertical="center"/>
    </xf>
    <xf numFmtId="166" fontId="6" fillId="0" borderId="2" xfId="1" applyNumberFormat="1" applyFont="1" applyFill="1" applyBorder="1" applyAlignment="1">
      <alignment vertical="center"/>
    </xf>
    <xf numFmtId="166" fontId="6" fillId="4" borderId="9" xfId="1" applyNumberFormat="1" applyFont="1" applyFill="1" applyBorder="1" applyAlignment="1">
      <alignment vertical="center"/>
    </xf>
    <xf numFmtId="0" fontId="8" fillId="3" borderId="0" xfId="0" applyFont="1" applyFill="1" applyAlignment="1">
      <alignment horizontal="left" vertical="center" readingOrder="1"/>
    </xf>
    <xf numFmtId="0" fontId="3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164" fontId="9" fillId="0" borderId="2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vertical="center"/>
    </xf>
    <xf numFmtId="167" fontId="6" fillId="0" borderId="1" xfId="0" applyNumberFormat="1" applyFont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/>
    </xf>
    <xf numFmtId="168" fontId="7" fillId="0" borderId="0" xfId="2" applyNumberFormat="1" applyFont="1" applyFill="1" applyBorder="1" applyAlignment="1">
      <alignment horizontal="right" vertical="center"/>
    </xf>
    <xf numFmtId="168" fontId="7" fillId="4" borderId="8" xfId="2" applyNumberFormat="1" applyFont="1" applyFill="1" applyBorder="1" applyAlignment="1">
      <alignment horizontal="right" vertical="center"/>
    </xf>
    <xf numFmtId="168" fontId="6" fillId="0" borderId="2" xfId="2" applyNumberFormat="1" applyFont="1" applyFill="1" applyBorder="1" applyAlignment="1">
      <alignment horizontal="right" vertical="center"/>
    </xf>
    <xf numFmtId="168" fontId="6" fillId="4" borderId="9" xfId="2" applyNumberFormat="1" applyFont="1" applyFill="1" applyBorder="1" applyAlignment="1">
      <alignment horizontal="right" vertical="center"/>
    </xf>
    <xf numFmtId="167" fontId="9" fillId="0" borderId="2" xfId="2" applyNumberFormat="1" applyFont="1" applyFill="1" applyBorder="1" applyAlignment="1">
      <alignment horizontal="right" vertical="center"/>
    </xf>
    <xf numFmtId="43" fontId="11" fillId="0" borderId="0" xfId="1" applyFont="1" applyAlignme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6" fillId="0" borderId="0" xfId="1" applyNumberFormat="1" applyFont="1" applyFill="1" applyBorder="1" applyAlignment="1">
      <alignment horizontal="center" vertical="center"/>
    </xf>
    <xf numFmtId="166" fontId="6" fillId="4" borderId="16" xfId="1" applyNumberFormat="1" applyFont="1" applyFill="1" applyBorder="1" applyAlignment="1">
      <alignment horizontal="center" vertical="center"/>
    </xf>
    <xf numFmtId="164" fontId="6" fillId="4" borderId="5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3"/>
    </xf>
    <xf numFmtId="165" fontId="7" fillId="0" borderId="0" xfId="1" applyNumberFormat="1" applyFont="1" applyFill="1" applyBorder="1" applyAlignment="1">
      <alignment horizontal="center" vertical="center"/>
    </xf>
    <xf numFmtId="166" fontId="7" fillId="4" borderId="16" xfId="1" applyNumberFormat="1" applyFont="1" applyFill="1" applyBorder="1" applyAlignment="1">
      <alignment horizontal="center" vertical="center"/>
    </xf>
    <xf numFmtId="164" fontId="7" fillId="4" borderId="5" xfId="2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165" fontId="6" fillId="0" borderId="12" xfId="1" applyNumberFormat="1" applyFont="1" applyFill="1" applyBorder="1" applyAlignment="1">
      <alignment horizontal="center" vertical="center"/>
    </xf>
    <xf numFmtId="165" fontId="6" fillId="4" borderId="17" xfId="1" applyNumberFormat="1" applyFont="1" applyFill="1" applyBorder="1" applyAlignment="1">
      <alignment horizontal="center" vertical="center"/>
    </xf>
    <xf numFmtId="164" fontId="6" fillId="4" borderId="13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5" fontId="6" fillId="4" borderId="16" xfId="1" applyNumberFormat="1" applyFont="1" applyFill="1" applyBorder="1" applyAlignment="1">
      <alignment horizontal="center" vertical="center"/>
    </xf>
    <xf numFmtId="164" fontId="6" fillId="4" borderId="1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18" xfId="1" applyNumberFormat="1" applyFont="1" applyFill="1" applyBorder="1" applyAlignment="1">
      <alignment horizontal="center" vertical="center"/>
    </xf>
    <xf numFmtId="164" fontId="6" fillId="4" borderId="6" xfId="2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6" fillId="0" borderId="1" xfId="0" applyFont="1" applyBorder="1" applyAlignment="1">
      <alignment vertical="center"/>
    </xf>
    <xf numFmtId="0" fontId="7" fillId="0" borderId="0" xfId="0" applyFont="1"/>
    <xf numFmtId="3" fontId="7" fillId="0" borderId="0" xfId="0" applyNumberFormat="1" applyFont="1"/>
    <xf numFmtId="166" fontId="7" fillId="0" borderId="0" xfId="0" applyNumberFormat="1" applyFont="1"/>
    <xf numFmtId="0" fontId="6" fillId="0" borderId="0" xfId="0" applyFont="1"/>
    <xf numFmtId="3" fontId="6" fillId="0" borderId="0" xfId="0" applyNumberFormat="1" applyFont="1"/>
    <xf numFmtId="3" fontId="6" fillId="4" borderId="8" xfId="1" applyNumberFormat="1" applyFont="1" applyFill="1" applyBorder="1" applyAlignment="1">
      <alignment vertical="center"/>
    </xf>
    <xf numFmtId="0" fontId="10" fillId="0" borderId="0" xfId="0" applyFont="1" applyAlignment="1">
      <alignment horizontal="left" indent="1"/>
    </xf>
    <xf numFmtId="9" fontId="10" fillId="0" borderId="0" xfId="2" applyFont="1"/>
    <xf numFmtId="9" fontId="10" fillId="4" borderId="8" xfId="2" applyFont="1" applyFill="1" applyBorder="1" applyAlignment="1">
      <alignment vertical="center"/>
    </xf>
    <xf numFmtId="9" fontId="6" fillId="0" borderId="12" xfId="2" applyFont="1" applyFill="1" applyBorder="1" applyAlignment="1">
      <alignment vertical="center"/>
    </xf>
    <xf numFmtId="9" fontId="6" fillId="4" borderId="19" xfId="2" applyFont="1" applyFill="1" applyBorder="1" applyAlignment="1">
      <alignment vertical="center"/>
    </xf>
    <xf numFmtId="9" fontId="6" fillId="0" borderId="1" xfId="2" applyFont="1" applyFill="1" applyBorder="1" applyAlignment="1">
      <alignment vertical="center"/>
    </xf>
    <xf numFmtId="9" fontId="6" fillId="4" borderId="7" xfId="2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5" fillId="6" borderId="0" xfId="0" applyFont="1" applyFill="1" applyAlignment="1">
      <alignment horizontal="left" vertical="center" indent="1"/>
    </xf>
    <xf numFmtId="0" fontId="4" fillId="0" borderId="0" xfId="0" applyFont="1"/>
    <xf numFmtId="0" fontId="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3" applyFont="1" applyFill="1" applyBorder="1" applyAlignment="1">
      <alignment horizontal="left" vertical="center" indent="1"/>
    </xf>
    <xf numFmtId="0" fontId="15" fillId="4" borderId="0" xfId="3" applyFont="1" applyFill="1" applyBorder="1" applyAlignment="1">
      <alignment horizontal="left" vertical="center" indent="2"/>
    </xf>
    <xf numFmtId="0" fontId="13" fillId="4" borderId="0" xfId="3" applyFont="1" applyFill="1" applyBorder="1" applyAlignment="1">
      <alignment horizontal="left" vertical="center"/>
    </xf>
    <xf numFmtId="0" fontId="4" fillId="0" borderId="14" xfId="0" applyFont="1" applyBorder="1"/>
    <xf numFmtId="0" fontId="4" fillId="0" borderId="14" xfId="0" applyFont="1" applyBorder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0" borderId="3" xfId="0" applyFont="1" applyBorder="1" applyAlignment="1">
      <alignment vertical="center" readingOrder="1"/>
    </xf>
    <xf numFmtId="165" fontId="4" fillId="2" borderId="0" xfId="1" applyNumberFormat="1" applyFont="1" applyFill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166" fontId="7" fillId="0" borderId="14" xfId="1" applyNumberFormat="1" applyFont="1" applyFill="1" applyBorder="1" applyAlignment="1">
      <alignment horizontal="right" vertical="center"/>
    </xf>
    <xf numFmtId="166" fontId="7" fillId="4" borderId="20" xfId="1" applyNumberFormat="1" applyFont="1" applyFill="1" applyBorder="1" applyAlignment="1">
      <alignment horizontal="right" vertical="center"/>
    </xf>
    <xf numFmtId="164" fontId="10" fillId="0" borderId="14" xfId="2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4" fillId="2" borderId="0" xfId="2" applyNumberFormat="1" applyFont="1" applyFill="1" applyAlignment="1">
      <alignment vertical="center"/>
    </xf>
    <xf numFmtId="165" fontId="6" fillId="0" borderId="2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8" fillId="0" borderId="3" xfId="0" applyFont="1" applyBorder="1" applyAlignment="1">
      <alignment vertical="center" readingOrder="1"/>
    </xf>
    <xf numFmtId="0" fontId="9" fillId="0" borderId="1" xfId="1" applyNumberFormat="1" applyFont="1" applyFill="1" applyBorder="1" applyAlignment="1">
      <alignment horizontal="right" vertical="center" wrapText="1"/>
    </xf>
    <xf numFmtId="166" fontId="6" fillId="2" borderId="2" xfId="1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9" fillId="0" borderId="1" xfId="2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166" fontId="6" fillId="0" borderId="5" xfId="1" applyNumberFormat="1" applyFont="1" applyFill="1" applyBorder="1" applyAlignment="1">
      <alignment horizontal="right" vertical="center"/>
    </xf>
    <xf numFmtId="0" fontId="24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6" fontId="7" fillId="0" borderId="0" xfId="0" applyNumberFormat="1" applyFont="1" applyAlignment="1">
      <alignment horizontal="right" vertical="center"/>
    </xf>
    <xf numFmtId="0" fontId="10" fillId="0" borderId="5" xfId="0" applyFont="1" applyBorder="1" applyAlignment="1">
      <alignment horizontal="left" vertical="center" indent="2"/>
    </xf>
    <xf numFmtId="0" fontId="7" fillId="0" borderId="4" xfId="0" applyFont="1" applyBorder="1" applyAlignment="1">
      <alignment vertical="center"/>
    </xf>
    <xf numFmtId="166" fontId="7" fillId="0" borderId="15" xfId="0" applyNumberFormat="1" applyFont="1" applyBorder="1" applyAlignment="1">
      <alignment horizontal="right" vertical="center"/>
    </xf>
    <xf numFmtId="166" fontId="7" fillId="4" borderId="8" xfId="0" applyNumberFormat="1" applyFont="1" applyFill="1" applyBorder="1" applyAlignment="1">
      <alignment horizontal="right" vertical="center"/>
    </xf>
    <xf numFmtId="166" fontId="7" fillId="4" borderId="7" xfId="0" applyNumberFormat="1" applyFont="1" applyFill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166" fontId="6" fillId="4" borderId="7" xfId="0" applyNumberFormat="1" applyFont="1" applyFill="1" applyBorder="1" applyAlignment="1">
      <alignment horizontal="right" vertical="center"/>
    </xf>
    <xf numFmtId="0" fontId="24" fillId="0" borderId="4" xfId="6" applyFont="1" applyBorder="1" applyAlignment="1">
      <alignment vertical="center"/>
    </xf>
    <xf numFmtId="0" fontId="10" fillId="0" borderId="5" xfId="0" applyFont="1" applyBorder="1" applyAlignment="1">
      <alignment horizontal="left" vertical="center" indent="3"/>
    </xf>
    <xf numFmtId="0" fontId="24" fillId="0" borderId="6" xfId="6" applyFont="1" applyBorder="1" applyAlignment="1">
      <alignment vertical="center" wrapText="1"/>
    </xf>
    <xf numFmtId="166" fontId="6" fillId="0" borderId="2" xfId="0" applyNumberFormat="1" applyFont="1" applyBorder="1" applyAlignment="1">
      <alignment horizontal="right" vertical="center"/>
    </xf>
    <xf numFmtId="166" fontId="6" fillId="4" borderId="9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4" borderId="1" xfId="0" applyFont="1" applyFill="1" applyBorder="1" applyAlignment="1">
      <alignment horizontal="right" vertical="center"/>
    </xf>
    <xf numFmtId="166" fontId="7" fillId="0" borderId="0" xfId="0" applyNumberFormat="1" applyFont="1" applyAlignment="1">
      <alignment vertical="center"/>
    </xf>
    <xf numFmtId="0" fontId="6" fillId="4" borderId="0" xfId="0" applyFont="1" applyFill="1" applyAlignment="1">
      <alignment horizontal="right" vertical="center"/>
    </xf>
    <xf numFmtId="166" fontId="7" fillId="4" borderId="0" xfId="0" applyNumberFormat="1" applyFont="1" applyFill="1" applyAlignment="1">
      <alignment horizontal="right" vertical="center"/>
    </xf>
    <xf numFmtId="0" fontId="6" fillId="0" borderId="21" xfId="0" applyFont="1" applyBorder="1" applyAlignment="1">
      <alignment vertical="center"/>
    </xf>
    <xf numFmtId="166" fontId="7" fillId="0" borderId="21" xfId="0" applyNumberFormat="1" applyFont="1" applyBorder="1" applyAlignment="1">
      <alignment vertical="center"/>
    </xf>
    <xf numFmtId="166" fontId="7" fillId="4" borderId="21" xfId="0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vertical="center"/>
    </xf>
    <xf numFmtId="164" fontId="6" fillId="0" borderId="2" xfId="2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6" fillId="4" borderId="2" xfId="2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166" fontId="7" fillId="4" borderId="0" xfId="0" applyNumberFormat="1" applyFont="1" applyFill="1" applyAlignment="1">
      <alignment vertical="center"/>
    </xf>
    <xf numFmtId="0" fontId="7" fillId="0" borderId="0" xfId="0" quotePrefix="1" applyFont="1" applyAlignment="1">
      <alignment vertical="center"/>
    </xf>
    <xf numFmtId="0" fontId="6" fillId="0" borderId="22" xfId="0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4" borderId="22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8" fillId="4" borderId="15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/>
    </xf>
  </cellXfs>
  <cellStyles count="7">
    <cellStyle name="Hipervínculo" xfId="3" builtinId="8"/>
    <cellStyle name="Millares" xfId="1" builtinId="3"/>
    <cellStyle name="Normal" xfId="0" builtinId="0"/>
    <cellStyle name="Normal 2" xfId="5" xr:uid="{C66B9D1F-D4C6-4E72-8337-4D5AD793258C}"/>
    <cellStyle name="Normal 5" xfId="4" xr:uid="{06D17B51-E801-4572-B6B8-C55CA8E92F74}"/>
    <cellStyle name="Normal 5 2 2" xfId="6" xr:uid="{DA240A46-4701-4506-BA72-A43E9E3502AE}"/>
    <cellStyle name="Porcentaje" xfId="2" builtinId="5"/>
  </cellStyles>
  <dxfs count="0"/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647699</xdr:colOff>
      <xdr:row>23</xdr:row>
      <xdr:rowOff>180974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D20AED7-37EA-4738-8890-73AB00CCB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1222" b="22054"/>
        <a:stretch/>
      </xdr:blipFill>
      <xdr:spPr bwMode="auto">
        <a:xfrm>
          <a:off x="0" y="0"/>
          <a:ext cx="5219699" cy="461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6</xdr:col>
      <xdr:colOff>657225</xdr:colOff>
      <xdr:row>24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E80488-7927-FA77-2B54-254704689D7F}"/>
            </a:ext>
          </a:extLst>
        </xdr:cNvPr>
        <xdr:cNvSpPr/>
      </xdr:nvSpPr>
      <xdr:spPr>
        <a:xfrm>
          <a:off x="1" y="0"/>
          <a:ext cx="5229224" cy="4619625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6</xdr:row>
      <xdr:rowOff>155308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0123F0-E13D-CEE5-EDF7-A99CB744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17</xdr:row>
      <xdr:rowOff>123296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872711"/>
          <a:ext cx="2293620" cy="1727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Futura Std Medium" panose="020B0502020204020303" pitchFamily="34" charset="0"/>
              <a:ea typeface="Cambria" panose="02040503050406030204" pitchFamily="18" charset="0"/>
            </a:rPr>
            <a:t>Suplemento Financiero</a:t>
          </a:r>
        </a:p>
      </xdr:txBody>
    </xdr:sp>
    <xdr:clientData/>
  </xdr:twoCellAnchor>
  <xdr:twoCellAnchor>
    <xdr:from>
      <xdr:col>0</xdr:col>
      <xdr:colOff>112395</xdr:colOff>
      <xdr:row>21</xdr:row>
      <xdr:rowOff>7621</xdr:rowOff>
    </xdr:from>
    <xdr:to>
      <xdr:col>3</xdr:col>
      <xdr:colOff>733425</xdr:colOff>
      <xdr:row>23</xdr:row>
      <xdr:rowOff>0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12395" y="3865246"/>
          <a:ext cx="2907030" cy="37337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Futura Std Book" panose="020B0502020204020303" pitchFamily="34" charset="0"/>
              <a:ea typeface="Cambria" panose="02040503050406030204" pitchFamily="18" charset="0"/>
            </a:rPr>
            <a:t>Resultados a diciembre de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9</xdr:row>
      <xdr:rowOff>31505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76200" y="1200150"/>
          <a:ext cx="6124574" cy="54585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Futura Std Medium" panose="020B0502020204020303" pitchFamily="34" charset="0"/>
              <a:ea typeface="Cambria" panose="02040503050406030204" pitchFamily="18" charset="0"/>
            </a:rPr>
            <a:t>Suplemento Financiero - NIIF 17&amp;9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12E2B1-7F81-415A-A7F7-F0BFD3D55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9</xdr:row>
      <xdr:rowOff>31505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76200" y="1200150"/>
          <a:ext cx="6124574" cy="54585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Futura Std Medium" panose="020B0502020204020303" pitchFamily="34" charset="0"/>
              <a:ea typeface="Cambria" panose="02040503050406030204" pitchFamily="18" charset="0"/>
            </a:rPr>
            <a:t>Suplemento Financiero - NIIF 4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A36737B-34E8-44B7-917A-3A212EF9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0.Estudio%20de%20Impacto%202011\Formularios\Hojas%20de%20trabajo\LTG_Core_Final_20130313_corregi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9.FLAOR%202013\122011_GRyCI_ORSA_02\Herramienta%20ORS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Index"/>
      <sheetName val="P.Readme"/>
      <sheetName val="Participant"/>
      <sheetName val="BS"/>
      <sheetName val="BS+"/>
      <sheetName val="SI"/>
      <sheetName val="Shared-2011"/>
      <sheetName val="Shared-2009"/>
      <sheetName val="Shared-2004"/>
      <sheetName val="BS-SI-Scen-0"/>
      <sheetName val="Scen-0"/>
      <sheetName val="Scen-1"/>
      <sheetName val="Scen-2"/>
      <sheetName val="Scen-3"/>
      <sheetName val="Scen-4"/>
      <sheetName val="Scen-5"/>
      <sheetName val="Scen-6"/>
      <sheetName val="Scen-7"/>
      <sheetName val="Scen-8"/>
      <sheetName val="Scen-9"/>
      <sheetName val="Scen-10"/>
      <sheetName val="Scen-11"/>
      <sheetName val="Scen-12"/>
      <sheetName val="ALM"/>
      <sheetName val="Overview"/>
      <sheetName val="Qualit"/>
    </sheetNames>
    <sheetDataSet>
      <sheetData sheetId="0" refreshError="1">
        <row r="2">
          <cell r="I2" t="str">
            <v>EIOPA LTG  20130325</v>
          </cell>
        </row>
        <row r="40">
          <cell r="F40" t="str">
            <v>.\LTG_I-adapted-(20130128).doc</v>
          </cell>
        </row>
      </sheetData>
      <sheetData sheetId="1" refreshError="1"/>
      <sheetData sheetId="2" refreshError="1">
        <row r="15">
          <cell r="G15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entificacion Usuario"/>
      <sheetName val="Pantalla_Admin"/>
      <sheetName val="INFO"/>
      <sheetName val="Descripción_Escenarios"/>
      <sheetName val="Seleccion_Riesgos"/>
      <sheetName val="Inputs_Proyección"/>
      <sheetName val="Inputs_Plantilla"/>
      <sheetName val="Resultados_Proyección"/>
      <sheetName val="Analisis_Complementario"/>
      <sheetName val="Inicio"/>
      <sheetName val="Menu_Secundario"/>
      <sheetName val="Inputs"/>
      <sheetName val="Tipo_de_Interes_Mercado"/>
      <sheetName val="Renta_Variable"/>
      <sheetName val="Inmuebles"/>
      <sheetName val="Tipo_de_Cambio"/>
      <sheetName val="Spread"/>
      <sheetName val="Concentracion"/>
      <sheetName val="Prima_Contraciclica"/>
      <sheetName val="Primas_Motor"/>
      <sheetName val="Reservas_Motor"/>
      <sheetName val="Primas_Reservas_Hogar"/>
      <sheetName val="Caidas_No_Vida"/>
      <sheetName val="CAT_No_Vida"/>
      <sheetName val="Contraparte"/>
      <sheetName val="Operacional"/>
      <sheetName val="Reputacional"/>
      <sheetName val="Regulatorio"/>
      <sheetName val="Cumplimiento_Normativo"/>
      <sheetName val="Gráfico"/>
      <sheetName val="Agregación Límites"/>
      <sheetName val="Proceso_ORSA"/>
      <sheetName val="Cover"/>
      <sheetName val="P&amp;L"/>
      <sheetName val="MI_Data"/>
      <sheetName val="SCR_Data"/>
      <sheetName val="Inversiones_Data"/>
      <sheetName val="Escenarios"/>
      <sheetName val="EBS_Escenarios"/>
      <sheetName val="Parámetros"/>
      <sheetName val="CE_Sobreescrito"/>
      <sheetName val="EBS_Base Proyección"/>
      <sheetName val="EBS_Base Proyec_Escenarios"/>
      <sheetName val="P&amp;L con scenarios"/>
      <sheetName val="MI_Data Escenarios"/>
      <sheetName val="EC-Aprox.Drivers"/>
      <sheetName val="EC-Modelos Internos"/>
      <sheetName val="EC-PyR-Hogar"/>
      <sheetName val="EC-R.Operacional"/>
      <sheetName val="EC-R.Pilar2"/>
      <sheetName val="MCR"/>
      <sheetName val="Agregación Riesgos"/>
      <sheetName val="EBS_Proyectado"/>
      <sheetName val="EBS_Proyec_Escenarios"/>
      <sheetName val="EBS_Data"/>
      <sheetName val="SCR Proyectado"/>
      <sheetName val="OF"/>
      <sheetName val="Resultados Clave"/>
      <sheetName val="Reverse Stress Test"/>
      <sheetName val="Complementario_OF"/>
      <sheetName val="Complementario_PPTT"/>
      <sheetName val="Complementario_CE"/>
      <sheetName val="Agregación Tolerancias"/>
      <sheetName val="Apetito_Riesgo"/>
      <sheetName val="Hoja_Calculos"/>
      <sheetName val="Hoja_Calculos (2)"/>
      <sheetName val="Herramienta OR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D6">
            <v>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L25"/>
  <sheetViews>
    <sheetView showGridLines="0" tabSelected="1" zoomScaleNormal="100" workbookViewId="0"/>
  </sheetViews>
  <sheetFormatPr baseColWidth="10" defaultColWidth="11.42578125" defaultRowHeight="15" x14ac:dyDescent="0.25"/>
  <cols>
    <col min="1" max="6" width="11.42578125" style="104"/>
    <col min="7" max="7" width="10" style="104" customWidth="1"/>
    <col min="8" max="8" width="33.85546875" style="5" customWidth="1"/>
    <col min="9" max="16384" width="11.42578125" style="104"/>
  </cols>
  <sheetData>
    <row r="1" spans="8:12" ht="18.75" customHeight="1" x14ac:dyDescent="0.25">
      <c r="H1" s="103" t="s">
        <v>27</v>
      </c>
    </row>
    <row r="2" spans="8:12" ht="15" customHeight="1" x14ac:dyDescent="0.25">
      <c r="H2" s="105"/>
    </row>
    <row r="3" spans="8:12" ht="15" customHeight="1" x14ac:dyDescent="0.25">
      <c r="H3" s="106" t="s">
        <v>18</v>
      </c>
    </row>
    <row r="4" spans="8:12" ht="15" customHeight="1" x14ac:dyDescent="0.25">
      <c r="H4" s="107" t="s">
        <v>19</v>
      </c>
    </row>
    <row r="5" spans="8:12" ht="15" customHeight="1" x14ac:dyDescent="0.25">
      <c r="H5" s="107" t="s">
        <v>24</v>
      </c>
    </row>
    <row r="6" spans="8:12" ht="15" customHeight="1" x14ac:dyDescent="0.25">
      <c r="H6" s="107" t="s">
        <v>20</v>
      </c>
    </row>
    <row r="7" spans="8:12" ht="15" customHeight="1" x14ac:dyDescent="0.25">
      <c r="H7" s="108" t="s">
        <v>15</v>
      </c>
    </row>
    <row r="8" spans="8:12" ht="15" customHeight="1" x14ac:dyDescent="0.25">
      <c r="H8" s="108" t="s">
        <v>21</v>
      </c>
    </row>
    <row r="9" spans="8:12" ht="15" customHeight="1" x14ac:dyDescent="0.25">
      <c r="H9" s="108" t="s">
        <v>22</v>
      </c>
    </row>
    <row r="10" spans="8:12" ht="15" customHeight="1" x14ac:dyDescent="0.25">
      <c r="H10" s="108" t="s">
        <v>23</v>
      </c>
    </row>
    <row r="11" spans="8:12" ht="15" customHeight="1" x14ac:dyDescent="0.25">
      <c r="H11" s="105"/>
    </row>
    <row r="12" spans="8:12" ht="15" customHeight="1" x14ac:dyDescent="0.25">
      <c r="H12" s="106" t="s">
        <v>113</v>
      </c>
    </row>
    <row r="13" spans="8:12" ht="15" customHeight="1" x14ac:dyDescent="0.25">
      <c r="H13" s="107" t="s">
        <v>24</v>
      </c>
    </row>
    <row r="14" spans="8:12" ht="15" customHeight="1" x14ac:dyDescent="0.25">
      <c r="H14" s="107" t="s">
        <v>20</v>
      </c>
      <c r="L14"/>
    </row>
    <row r="15" spans="8:12" ht="15" customHeight="1" x14ac:dyDescent="0.25">
      <c r="H15" s="108" t="s">
        <v>15</v>
      </c>
    </row>
    <row r="16" spans="8:12" ht="15" customHeight="1" x14ac:dyDescent="0.25">
      <c r="H16" s="108" t="s">
        <v>21</v>
      </c>
    </row>
    <row r="17" spans="1:8" ht="15" customHeight="1" x14ac:dyDescent="0.25">
      <c r="H17" s="108" t="s">
        <v>22</v>
      </c>
    </row>
    <row r="18" spans="1:8" ht="15" customHeight="1" x14ac:dyDescent="0.25">
      <c r="H18" s="108" t="s">
        <v>23</v>
      </c>
    </row>
    <row r="19" spans="1:8" x14ac:dyDescent="0.25">
      <c r="H19" s="105"/>
    </row>
    <row r="20" spans="1:8" x14ac:dyDescent="0.25">
      <c r="H20" s="109" t="s">
        <v>175</v>
      </c>
    </row>
    <row r="21" spans="1:8" x14ac:dyDescent="0.25">
      <c r="H21" s="105"/>
    </row>
    <row r="22" spans="1:8" x14ac:dyDescent="0.25">
      <c r="H22" s="109" t="s">
        <v>25</v>
      </c>
    </row>
    <row r="23" spans="1:8" x14ac:dyDescent="0.25">
      <c r="H23" s="109" t="s">
        <v>26</v>
      </c>
    </row>
    <row r="24" spans="1:8" x14ac:dyDescent="0.25">
      <c r="H24" s="105"/>
    </row>
    <row r="25" spans="1:8" ht="5.25" customHeight="1" x14ac:dyDescent="0.25">
      <c r="A25" s="110"/>
      <c r="B25" s="110"/>
      <c r="C25" s="110"/>
      <c r="D25" s="110"/>
      <c r="E25" s="110"/>
      <c r="F25" s="110"/>
      <c r="G25" s="110"/>
      <c r="H25" s="111"/>
    </row>
  </sheetData>
  <hyperlinks>
    <hyperlink ref="H4" location="'Balance - NIIF 17&amp;9'!A1" display="Balance" xr:uid="{FE2BEE06-75C7-458B-8E29-1B6FC9F4F468}"/>
    <hyperlink ref="H5" location="'P&amp;G - NIIF 17&amp;9'!A1" display="Cuenta de Resultados" xr:uid="{8C6665BE-6ED0-43FA-91AF-EBEDC746B0DA}"/>
    <hyperlink ref="H6" location="'Líneas de Negocio - NIIF 17&amp;9'!A1" display="Líneas de Negocio" xr:uid="{E70D77EB-26A1-41E1-AB47-54ADE5E3CC66}"/>
    <hyperlink ref="H8" location="'Hogar - NIIF 17&amp;9'!A1" display="Hogar" xr:uid="{AB5156D6-EA76-429A-BBDD-3B3C1DC45395}"/>
    <hyperlink ref="H9" location="'Salud - NIIF 17&amp;9'!A1" display="Salud" xr:uid="{F029259D-3D98-4A75-8E82-F7BA2FDA8A97}"/>
    <hyperlink ref="H10" location="'Otros - NIIF 17&amp;9'!A1" display="Otros" xr:uid="{E00B0154-20B2-4BDE-9A31-EDF9564A2FB3}"/>
    <hyperlink ref="H22" location="Inversiones!A1" display="Inversiones" xr:uid="{B737B1AA-133E-49F4-B9D1-C05F75064CE0}"/>
    <hyperlink ref="H23" location="Solvencia!A1" display="Solvencia" xr:uid="{008650B0-7C88-4A41-8497-3E1E93E0CC5E}"/>
    <hyperlink ref="H7" location="'Motor - NIIF 17&amp;9'!A1" display="Motor" xr:uid="{FE9C15AC-4688-4226-814C-BEE32E925A47}"/>
    <hyperlink ref="H13" location="'P&amp;G - NIIF 4'!A1" display="Cuenta de Resultados" xr:uid="{A2E814B9-2EB9-465F-8ECB-28DCD336A81C}"/>
    <hyperlink ref="H14" location="'Líneas de Negocio - NIIF 4'!A1" display="Líneas de Negocio" xr:uid="{11689757-B3F6-428C-8D60-3BF86FFD9A3E}"/>
    <hyperlink ref="H15" location="'Motor - NIIF 4'!A1" display="Motor" xr:uid="{1A20652F-C454-4CB8-9EAD-5D022499294E}"/>
    <hyperlink ref="H16" location="'Hogar - NIIF 4'!A1" display="Hogar" xr:uid="{19B8343C-592B-415F-8EF4-E6C9ED2D6CCA}"/>
    <hyperlink ref="H17" location="'Salud - NIIF 4'!A1" display="Salud" xr:uid="{2B6417BA-6DEC-4F58-9516-F1461FF09303}"/>
    <hyperlink ref="H18" location="'Otros - NIIF 4'!A1" display="Otros" xr:uid="{6DAAA5AE-A4DB-426E-82AA-10860501E1AD}"/>
    <hyperlink ref="H20" location="'Ratio Combinado'!A1" display="Ratio combinado (NIIF4 - NIIF17)" xr:uid="{3E5E2347-E93E-494C-B4FF-CEF2612FDAE8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C2"/>
  <sheetViews>
    <sheetView showGridLines="0" workbookViewId="0">
      <selection activeCell="C2" sqref="C2"/>
    </sheetView>
  </sheetViews>
  <sheetFormatPr baseColWidth="10" defaultRowHeight="15" x14ac:dyDescent="0.25"/>
  <sheetData>
    <row r="2" spans="3:3" x14ac:dyDescent="0.25">
      <c r="C2" s="3" t="s">
        <v>27</v>
      </c>
    </row>
  </sheetData>
  <hyperlinks>
    <hyperlink ref="C2" location="'Suplemento Financiero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K29"/>
  <sheetViews>
    <sheetView showGridLines="0" zoomScaleNormal="100" workbookViewId="0">
      <selection activeCell="B2" sqref="B2"/>
    </sheetView>
  </sheetViews>
  <sheetFormatPr baseColWidth="10" defaultColWidth="11.42578125" defaultRowHeight="15" outlineLevelCol="1" x14ac:dyDescent="0.25"/>
  <cols>
    <col min="1" max="1" width="1.5703125" style="2" customWidth="1"/>
    <col min="2" max="2" width="10.7109375" style="2" customWidth="1"/>
    <col min="3" max="3" width="1.5703125" style="2" customWidth="1"/>
    <col min="4" max="4" width="46" style="2" bestFit="1" customWidth="1"/>
    <col min="5" max="5" width="13.28515625" style="2" customWidth="1"/>
    <col min="6" max="6" width="13.28515625" style="2" hidden="1" customWidth="1" outlineLevel="1"/>
    <col min="7" max="7" width="13.28515625" style="2" customWidth="1" collapsed="1"/>
    <col min="8" max="9" width="13.28515625" style="2" hidden="1" customWidth="1" outlineLevel="1"/>
    <col min="10" max="10" width="13.28515625" style="2" customWidth="1" collapsed="1"/>
    <col min="11" max="13" width="13.28515625" style="2" hidden="1" customWidth="1" outlineLevel="1"/>
    <col min="14" max="14" width="13.28515625" style="2" customWidth="1" collapsed="1"/>
    <col min="15" max="17" width="13.28515625" style="2" hidden="1" customWidth="1" outlineLevel="1"/>
    <col min="18" max="18" width="13.28515625" style="2" customWidth="1" collapsed="1"/>
    <col min="19" max="21" width="13.28515625" style="2" hidden="1" customWidth="1" outlineLevel="1"/>
    <col min="22" max="22" width="13.28515625" style="2" customWidth="1" collapsed="1"/>
    <col min="23" max="23" width="3" style="2" customWidth="1"/>
    <col min="24" max="16384" width="11.42578125" style="2"/>
  </cols>
  <sheetData>
    <row r="1" spans="2:37" ht="16.5" customHeight="1" x14ac:dyDescent="0.25"/>
    <row r="2" spans="2:37" ht="18.75" customHeight="1" thickBot="1" x14ac:dyDescent="0.3">
      <c r="B2" s="3" t="s">
        <v>27</v>
      </c>
      <c r="D2" s="4" t="s">
        <v>114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X2" s="4" t="s">
        <v>34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2:37" x14ac:dyDescent="0.25">
      <c r="B3" s="5"/>
      <c r="D3" s="10"/>
      <c r="E3" s="33"/>
      <c r="F3" s="33"/>
      <c r="G3" s="10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2:37" ht="15.75" thickBot="1" x14ac:dyDescent="0.3">
      <c r="B4" s="5"/>
      <c r="D4" s="6"/>
      <c r="E4" s="34" t="s">
        <v>6</v>
      </c>
      <c r="F4" s="34" t="s">
        <v>115</v>
      </c>
      <c r="G4" s="34" t="s">
        <v>3</v>
      </c>
      <c r="H4" s="34" t="s">
        <v>116</v>
      </c>
      <c r="I4" s="34" t="s">
        <v>117</v>
      </c>
      <c r="J4" s="34" t="s">
        <v>4</v>
      </c>
      <c r="K4" s="34" t="s">
        <v>118</v>
      </c>
      <c r="L4" s="34" t="s">
        <v>119</v>
      </c>
      <c r="M4" s="34" t="s">
        <v>120</v>
      </c>
      <c r="N4" s="34" t="s">
        <v>14</v>
      </c>
      <c r="O4" s="34" t="s">
        <v>121</v>
      </c>
      <c r="P4" s="34" t="s">
        <v>122</v>
      </c>
      <c r="Q4" s="34" t="s">
        <v>123</v>
      </c>
      <c r="R4" s="34" t="s">
        <v>16</v>
      </c>
      <c r="S4" s="34" t="s">
        <v>17</v>
      </c>
      <c r="T4" s="34" t="s">
        <v>88</v>
      </c>
      <c r="U4" s="34" t="s">
        <v>92</v>
      </c>
      <c r="V4" s="35" t="s">
        <v>95</v>
      </c>
      <c r="X4" s="34" t="s">
        <v>124</v>
      </c>
      <c r="Y4" s="34" t="s">
        <v>125</v>
      </c>
      <c r="Z4" s="34" t="s">
        <v>126</v>
      </c>
      <c r="AA4" s="34" t="s">
        <v>127</v>
      </c>
      <c r="AB4" s="34" t="s">
        <v>128</v>
      </c>
      <c r="AC4" s="34" t="s">
        <v>129</v>
      </c>
      <c r="AD4" s="34" t="s">
        <v>130</v>
      </c>
      <c r="AE4" s="34" t="s">
        <v>131</v>
      </c>
      <c r="AF4" s="34" t="s">
        <v>132</v>
      </c>
      <c r="AG4" s="34" t="s">
        <v>133</v>
      </c>
      <c r="AH4" s="34" t="s">
        <v>41</v>
      </c>
      <c r="AI4" s="34" t="s">
        <v>89</v>
      </c>
      <c r="AJ4" s="34" t="s">
        <v>93</v>
      </c>
      <c r="AK4" s="35" t="s">
        <v>94</v>
      </c>
    </row>
    <row r="5" spans="2:37" x14ac:dyDescent="0.25">
      <c r="B5" s="5"/>
      <c r="D5" s="10" t="s">
        <v>96</v>
      </c>
      <c r="E5" s="36">
        <v>853119</v>
      </c>
      <c r="F5" s="36">
        <v>671237.88711999997</v>
      </c>
      <c r="G5" s="36">
        <v>891295</v>
      </c>
      <c r="H5" s="36">
        <v>451910</v>
      </c>
      <c r="I5" s="36">
        <v>675056.76400999993</v>
      </c>
      <c r="J5" s="36">
        <v>898614</v>
      </c>
      <c r="K5" s="36">
        <v>224068</v>
      </c>
      <c r="L5" s="36">
        <v>456465</v>
      </c>
      <c r="M5" s="36">
        <v>682637.5491399999</v>
      </c>
      <c r="N5" s="36">
        <v>907189</v>
      </c>
      <c r="O5" s="36">
        <v>232005</v>
      </c>
      <c r="P5" s="36">
        <v>474789</v>
      </c>
      <c r="Q5" s="36">
        <v>710701</v>
      </c>
      <c r="R5" s="36">
        <v>946679</v>
      </c>
      <c r="S5" s="36">
        <v>244211</v>
      </c>
      <c r="T5" s="36">
        <v>491948</v>
      </c>
      <c r="U5" s="36">
        <v>731947</v>
      </c>
      <c r="V5" s="37">
        <v>973281.04268999991</v>
      </c>
      <c r="X5" s="36">
        <f t="shared" ref="X5:X18" si="0">I5-H5</f>
        <v>223146.76400999993</v>
      </c>
      <c r="Y5" s="36">
        <f t="shared" ref="Y5:Y18" si="1">J5-I5</f>
        <v>223557.23599000007</v>
      </c>
      <c r="Z5" s="36">
        <f>K5</f>
        <v>224068</v>
      </c>
      <c r="AA5" s="36">
        <f t="shared" ref="AA5:AA18" si="2">L5-K5</f>
        <v>232397</v>
      </c>
      <c r="AB5" s="36">
        <f t="shared" ref="AB5:AB18" si="3">M5-L5</f>
        <v>226172.5491399999</v>
      </c>
      <c r="AC5" s="36">
        <f t="shared" ref="AC5:AC17" si="4">N5-M5</f>
        <v>224551.4508600001</v>
      </c>
      <c r="AD5" s="36">
        <f t="shared" ref="AD5:AD17" si="5">O5</f>
        <v>232005</v>
      </c>
      <c r="AE5" s="36">
        <f t="shared" ref="AE5:AE18" si="6">P5-O5</f>
        <v>242784</v>
      </c>
      <c r="AF5" s="36">
        <f t="shared" ref="AF5:AF18" si="7">Q5-P5</f>
        <v>235912</v>
      </c>
      <c r="AG5" s="36">
        <f t="shared" ref="AG5:AG18" si="8">R5-Q5</f>
        <v>235978</v>
      </c>
      <c r="AH5" s="36">
        <f>S5</f>
        <v>244211</v>
      </c>
      <c r="AI5" s="36">
        <f t="shared" ref="AI5:AI18" si="9">T5-S5</f>
        <v>247737</v>
      </c>
      <c r="AJ5" s="36">
        <f t="shared" ref="AJ5:AJ18" si="10">U5-T5</f>
        <v>239999</v>
      </c>
      <c r="AK5" s="37">
        <f t="shared" ref="AK5:AK18" si="11">V5-U5</f>
        <v>241334.04268999991</v>
      </c>
    </row>
    <row r="6" spans="2:37" x14ac:dyDescent="0.25">
      <c r="B6" s="5"/>
      <c r="D6" s="10" t="s">
        <v>134</v>
      </c>
      <c r="E6" s="36">
        <v>816289</v>
      </c>
      <c r="F6" s="36">
        <v>641351.88182999962</v>
      </c>
      <c r="G6" s="36">
        <v>854762</v>
      </c>
      <c r="H6" s="36">
        <v>434400</v>
      </c>
      <c r="I6" s="36">
        <v>654226.95956999995</v>
      </c>
      <c r="J6" s="36">
        <v>878177</v>
      </c>
      <c r="K6" s="36">
        <v>216386</v>
      </c>
      <c r="L6" s="36">
        <v>435993</v>
      </c>
      <c r="M6" s="36">
        <v>658532.16795000026</v>
      </c>
      <c r="N6" s="36">
        <v>882728</v>
      </c>
      <c r="O6" s="36">
        <v>218616</v>
      </c>
      <c r="P6" s="36">
        <v>441739</v>
      </c>
      <c r="Q6" s="36">
        <v>669797</v>
      </c>
      <c r="R6" s="36">
        <v>900647</v>
      </c>
      <c r="S6" s="36">
        <v>228677</v>
      </c>
      <c r="T6" s="36">
        <v>462016</v>
      </c>
      <c r="U6" s="36">
        <v>698840</v>
      </c>
      <c r="V6" s="37">
        <v>936616.75870999997</v>
      </c>
      <c r="X6" s="36">
        <f t="shared" si="0"/>
        <v>219826.95956999995</v>
      </c>
      <c r="Y6" s="36">
        <f t="shared" si="1"/>
        <v>223950.04043000005</v>
      </c>
      <c r="Z6" s="36">
        <f t="shared" ref="Z6:Z18" si="12">K6</f>
        <v>216386</v>
      </c>
      <c r="AA6" s="36">
        <f t="shared" si="2"/>
        <v>219607</v>
      </c>
      <c r="AB6" s="36">
        <f t="shared" si="3"/>
        <v>222539.16795000026</v>
      </c>
      <c r="AC6" s="36">
        <f t="shared" si="4"/>
        <v>224195.83204999974</v>
      </c>
      <c r="AD6" s="36">
        <f t="shared" si="5"/>
        <v>218616</v>
      </c>
      <c r="AE6" s="36">
        <f t="shared" si="6"/>
        <v>223123</v>
      </c>
      <c r="AF6" s="36">
        <f t="shared" si="7"/>
        <v>228058</v>
      </c>
      <c r="AG6" s="36">
        <f t="shared" si="8"/>
        <v>230850</v>
      </c>
      <c r="AH6" s="36">
        <f t="shared" ref="AH6:AH18" si="13">S6</f>
        <v>228677</v>
      </c>
      <c r="AI6" s="36">
        <f t="shared" si="9"/>
        <v>233339</v>
      </c>
      <c r="AJ6" s="36">
        <f t="shared" si="10"/>
        <v>236824</v>
      </c>
      <c r="AK6" s="37">
        <f t="shared" si="11"/>
        <v>237776.75870999997</v>
      </c>
    </row>
    <row r="7" spans="2:37" x14ac:dyDescent="0.25">
      <c r="B7" s="5"/>
      <c r="D7" s="38" t="s">
        <v>37</v>
      </c>
      <c r="E7" s="39">
        <v>-528029</v>
      </c>
      <c r="F7" s="39">
        <v>-434879.50449328037</v>
      </c>
      <c r="G7" s="39">
        <v>-580987</v>
      </c>
      <c r="H7" s="39">
        <v>-279624</v>
      </c>
      <c r="I7" s="39">
        <v>-404121.66815101047</v>
      </c>
      <c r="J7" s="39">
        <v>-540064</v>
      </c>
      <c r="K7" s="39">
        <v>-142364</v>
      </c>
      <c r="L7" s="39">
        <v>-284885</v>
      </c>
      <c r="M7" s="39">
        <v>-434205.32618606143</v>
      </c>
      <c r="N7" s="39">
        <v>-597820</v>
      </c>
      <c r="O7" s="39">
        <v>-151164</v>
      </c>
      <c r="P7" s="39">
        <v>-310218</v>
      </c>
      <c r="Q7" s="39">
        <v>-487814</v>
      </c>
      <c r="R7" s="39">
        <v>-681500</v>
      </c>
      <c r="S7" s="39">
        <v>-197357</v>
      </c>
      <c r="T7" s="39">
        <v>-410601</v>
      </c>
      <c r="U7" s="39">
        <v>-610177</v>
      </c>
      <c r="V7" s="40">
        <v>-800940.89993323886</v>
      </c>
      <c r="X7" s="39">
        <f t="shared" si="0"/>
        <v>-124497.66815101047</v>
      </c>
      <c r="Y7" s="39">
        <f t="shared" si="1"/>
        <v>-135942.33184898953</v>
      </c>
      <c r="Z7" s="39">
        <f t="shared" si="12"/>
        <v>-142364</v>
      </c>
      <c r="AA7" s="39">
        <f t="shared" si="2"/>
        <v>-142521</v>
      </c>
      <c r="AB7" s="39">
        <f t="shared" si="3"/>
        <v>-149320.32618606143</v>
      </c>
      <c r="AC7" s="39">
        <f t="shared" si="4"/>
        <v>-163614.67381393857</v>
      </c>
      <c r="AD7" s="39">
        <f t="shared" si="5"/>
        <v>-151164</v>
      </c>
      <c r="AE7" s="39">
        <f t="shared" si="6"/>
        <v>-159054</v>
      </c>
      <c r="AF7" s="39">
        <f t="shared" si="7"/>
        <v>-177596</v>
      </c>
      <c r="AG7" s="39">
        <f t="shared" si="8"/>
        <v>-193686</v>
      </c>
      <c r="AH7" s="39">
        <f t="shared" si="13"/>
        <v>-197357</v>
      </c>
      <c r="AI7" s="39">
        <f t="shared" si="9"/>
        <v>-213244</v>
      </c>
      <c r="AJ7" s="39">
        <f t="shared" si="10"/>
        <v>-199576</v>
      </c>
      <c r="AK7" s="40">
        <f t="shared" si="11"/>
        <v>-190763.89993323886</v>
      </c>
    </row>
    <row r="8" spans="2:37" x14ac:dyDescent="0.25">
      <c r="B8" s="5"/>
      <c r="D8" s="38" t="s">
        <v>38</v>
      </c>
      <c r="E8" s="39">
        <v>-196176</v>
      </c>
      <c r="F8" s="39">
        <v>-149071.66064898294</v>
      </c>
      <c r="G8" s="39">
        <v>-199919</v>
      </c>
      <c r="H8" s="39">
        <v>-101365</v>
      </c>
      <c r="I8" s="39">
        <v>-154592.63530112992</v>
      </c>
      <c r="J8" s="39">
        <v>-209603</v>
      </c>
      <c r="K8" s="39">
        <v>-46564</v>
      </c>
      <c r="L8" s="39">
        <v>-97485</v>
      </c>
      <c r="M8" s="39">
        <v>-149806.46006821495</v>
      </c>
      <c r="N8" s="39">
        <v>-203458</v>
      </c>
      <c r="O8" s="39">
        <v>-45654</v>
      </c>
      <c r="P8" s="39">
        <v>-94279</v>
      </c>
      <c r="Q8" s="39">
        <v>-146456</v>
      </c>
      <c r="R8" s="39">
        <v>-202182</v>
      </c>
      <c r="S8" s="39">
        <v>-50440</v>
      </c>
      <c r="T8" s="39">
        <v>-99816</v>
      </c>
      <c r="U8" s="39">
        <v>-152116</v>
      </c>
      <c r="V8" s="40">
        <v>-208409.01404748808</v>
      </c>
      <c r="X8" s="39">
        <f t="shared" si="0"/>
        <v>-53227.635301129922</v>
      </c>
      <c r="Y8" s="39">
        <f t="shared" si="1"/>
        <v>-55010.364698870078</v>
      </c>
      <c r="Z8" s="39">
        <f t="shared" si="12"/>
        <v>-46564</v>
      </c>
      <c r="AA8" s="39">
        <f t="shared" si="2"/>
        <v>-50921</v>
      </c>
      <c r="AB8" s="39">
        <f t="shared" si="3"/>
        <v>-52321.460068214947</v>
      </c>
      <c r="AC8" s="39">
        <f t="shared" si="4"/>
        <v>-53651.539931785053</v>
      </c>
      <c r="AD8" s="39">
        <f t="shared" si="5"/>
        <v>-45654</v>
      </c>
      <c r="AE8" s="39">
        <f t="shared" si="6"/>
        <v>-48625</v>
      </c>
      <c r="AF8" s="39">
        <f t="shared" si="7"/>
        <v>-52177</v>
      </c>
      <c r="AG8" s="39">
        <f t="shared" si="8"/>
        <v>-55726</v>
      </c>
      <c r="AH8" s="39">
        <f t="shared" si="13"/>
        <v>-50440</v>
      </c>
      <c r="AI8" s="39">
        <f t="shared" si="9"/>
        <v>-49376</v>
      </c>
      <c r="AJ8" s="39">
        <f t="shared" si="10"/>
        <v>-52300</v>
      </c>
      <c r="AK8" s="40">
        <f t="shared" si="11"/>
        <v>-56293.014047488075</v>
      </c>
    </row>
    <row r="9" spans="2:37" x14ac:dyDescent="0.25">
      <c r="B9" s="5"/>
      <c r="D9" s="38" t="s">
        <v>135</v>
      </c>
      <c r="E9" s="39">
        <v>25728</v>
      </c>
      <c r="F9" s="39">
        <v>23267.081610000001</v>
      </c>
      <c r="G9" s="39">
        <v>29794</v>
      </c>
      <c r="H9" s="39">
        <v>8623</v>
      </c>
      <c r="I9" s="39">
        <v>14051.203730000003</v>
      </c>
      <c r="J9" s="39">
        <v>17429</v>
      </c>
      <c r="K9" s="39">
        <v>4086</v>
      </c>
      <c r="L9" s="39">
        <v>9516</v>
      </c>
      <c r="M9" s="39">
        <v>15089.09052</v>
      </c>
      <c r="N9" s="39">
        <v>22185</v>
      </c>
      <c r="O9" s="39">
        <v>2310</v>
      </c>
      <c r="P9" s="39">
        <v>6809</v>
      </c>
      <c r="Q9" s="39">
        <v>11920</v>
      </c>
      <c r="R9" s="39">
        <v>16385</v>
      </c>
      <c r="S9" s="39">
        <v>2314</v>
      </c>
      <c r="T9" s="39">
        <v>9021</v>
      </c>
      <c r="U9" s="39">
        <v>15646</v>
      </c>
      <c r="V9" s="40">
        <v>21701.432339999996</v>
      </c>
      <c r="X9" s="39">
        <f t="shared" si="0"/>
        <v>5428.2037300000029</v>
      </c>
      <c r="Y9" s="39">
        <f t="shared" si="1"/>
        <v>3377.7962699999971</v>
      </c>
      <c r="Z9" s="39">
        <f t="shared" si="12"/>
        <v>4086</v>
      </c>
      <c r="AA9" s="39">
        <f t="shared" si="2"/>
        <v>5430</v>
      </c>
      <c r="AB9" s="39">
        <f t="shared" si="3"/>
        <v>5573.0905199999997</v>
      </c>
      <c r="AC9" s="39">
        <f t="shared" si="4"/>
        <v>7095.9094800000003</v>
      </c>
      <c r="AD9" s="39">
        <f t="shared" si="5"/>
        <v>2310</v>
      </c>
      <c r="AE9" s="39">
        <f t="shared" si="6"/>
        <v>4499</v>
      </c>
      <c r="AF9" s="39">
        <f t="shared" si="7"/>
        <v>5111</v>
      </c>
      <c r="AG9" s="39">
        <f t="shared" si="8"/>
        <v>4465</v>
      </c>
      <c r="AH9" s="39">
        <f t="shared" si="13"/>
        <v>2314</v>
      </c>
      <c r="AI9" s="39">
        <f t="shared" si="9"/>
        <v>6707</v>
      </c>
      <c r="AJ9" s="39">
        <f t="shared" si="10"/>
        <v>6625</v>
      </c>
      <c r="AK9" s="40">
        <f t="shared" si="11"/>
        <v>6055.4323399999957</v>
      </c>
    </row>
    <row r="10" spans="2:37" x14ac:dyDescent="0.25">
      <c r="B10" s="5"/>
      <c r="D10" s="10" t="s">
        <v>35</v>
      </c>
      <c r="E10" s="36">
        <f t="shared" ref="E10:I10" si="14">SUM(E6:E9)</f>
        <v>117812</v>
      </c>
      <c r="F10" s="36">
        <f>SUM(F6:F9)</f>
        <v>80667.798297736299</v>
      </c>
      <c r="G10" s="36">
        <f t="shared" si="14"/>
        <v>103650</v>
      </c>
      <c r="H10" s="36">
        <f t="shared" si="14"/>
        <v>62034</v>
      </c>
      <c r="I10" s="36">
        <f t="shared" si="14"/>
        <v>109563.85984785957</v>
      </c>
      <c r="J10" s="36">
        <f t="shared" ref="J10:Q10" si="15">SUM(J6:J9)</f>
        <v>145939</v>
      </c>
      <c r="K10" s="36">
        <f t="shared" si="15"/>
        <v>31544</v>
      </c>
      <c r="L10" s="36">
        <f t="shared" si="15"/>
        <v>63139</v>
      </c>
      <c r="M10" s="36">
        <f t="shared" si="15"/>
        <v>89609.472215723887</v>
      </c>
      <c r="N10" s="36">
        <f t="shared" si="15"/>
        <v>103635</v>
      </c>
      <c r="O10" s="36">
        <f t="shared" si="15"/>
        <v>24108</v>
      </c>
      <c r="P10" s="36">
        <v>44051</v>
      </c>
      <c r="Q10" s="36">
        <f t="shared" si="15"/>
        <v>47447</v>
      </c>
      <c r="R10" s="36">
        <f>SUM(R6:R9)</f>
        <v>33350</v>
      </c>
      <c r="S10" s="36">
        <f>SUM(S6:S9)</f>
        <v>-16806</v>
      </c>
      <c r="T10" s="36">
        <f>SUM(T6:T9)</f>
        <v>-39380</v>
      </c>
      <c r="U10" s="36">
        <f>SUM(U6:U9)</f>
        <v>-47807</v>
      </c>
      <c r="V10" s="37">
        <f>SUM(V6:V9)</f>
        <v>-51031.722930726974</v>
      </c>
      <c r="X10" s="36">
        <f t="shared" si="0"/>
        <v>47529.859847859567</v>
      </c>
      <c r="Y10" s="36">
        <f t="shared" si="1"/>
        <v>36375.140152140433</v>
      </c>
      <c r="Z10" s="36">
        <f t="shared" si="12"/>
        <v>31544</v>
      </c>
      <c r="AA10" s="36">
        <f t="shared" si="2"/>
        <v>31595</v>
      </c>
      <c r="AB10" s="36">
        <f t="shared" si="3"/>
        <v>26470.472215723887</v>
      </c>
      <c r="AC10" s="36">
        <f t="shared" si="4"/>
        <v>14025.527784276113</v>
      </c>
      <c r="AD10" s="36">
        <f t="shared" si="5"/>
        <v>24108</v>
      </c>
      <c r="AE10" s="36">
        <f t="shared" si="6"/>
        <v>19943</v>
      </c>
      <c r="AF10" s="36">
        <f t="shared" si="7"/>
        <v>3396</v>
      </c>
      <c r="AG10" s="36">
        <f t="shared" si="8"/>
        <v>-14097</v>
      </c>
      <c r="AH10" s="36">
        <f t="shared" si="13"/>
        <v>-16806</v>
      </c>
      <c r="AI10" s="36">
        <f t="shared" si="9"/>
        <v>-22574</v>
      </c>
      <c r="AJ10" s="36">
        <f t="shared" si="10"/>
        <v>-8427</v>
      </c>
      <c r="AK10" s="37">
        <f t="shared" si="11"/>
        <v>-3224.7229307269736</v>
      </c>
    </row>
    <row r="11" spans="2:37" x14ac:dyDescent="0.25">
      <c r="B11" s="5"/>
      <c r="D11" s="38" t="s">
        <v>136</v>
      </c>
      <c r="E11" s="39">
        <v>52021</v>
      </c>
      <c r="F11" s="39">
        <v>54355.569459999992</v>
      </c>
      <c r="G11" s="39">
        <v>70687</v>
      </c>
      <c r="H11" s="39">
        <v>34974</v>
      </c>
      <c r="I11" s="39">
        <v>50657.768469999995</v>
      </c>
      <c r="J11" s="39">
        <v>76613</v>
      </c>
      <c r="K11" s="39">
        <v>13376</v>
      </c>
      <c r="L11" s="39">
        <v>22769</v>
      </c>
      <c r="M11" s="39">
        <v>39281.246479999987</v>
      </c>
      <c r="N11" s="39">
        <v>57904</v>
      </c>
      <c r="O11" s="39">
        <v>16337</v>
      </c>
      <c r="P11" s="39">
        <v>36794</v>
      </c>
      <c r="Q11" s="39">
        <v>51685</v>
      </c>
      <c r="R11" s="39">
        <v>72406</v>
      </c>
      <c r="S11" s="39">
        <v>15432</v>
      </c>
      <c r="T11" s="39">
        <v>27400</v>
      </c>
      <c r="U11" s="39">
        <v>38806</v>
      </c>
      <c r="V11" s="40">
        <v>54164.524510000003</v>
      </c>
      <c r="X11" s="39">
        <f t="shared" si="0"/>
        <v>15683.768469999995</v>
      </c>
      <c r="Y11" s="39">
        <f t="shared" si="1"/>
        <v>25955.231530000005</v>
      </c>
      <c r="Z11" s="39">
        <f t="shared" si="12"/>
        <v>13376</v>
      </c>
      <c r="AA11" s="39">
        <f t="shared" si="2"/>
        <v>9393</v>
      </c>
      <c r="AB11" s="39">
        <f t="shared" si="3"/>
        <v>16512.246479999987</v>
      </c>
      <c r="AC11" s="39">
        <f t="shared" si="4"/>
        <v>18622.753520000013</v>
      </c>
      <c r="AD11" s="39">
        <f t="shared" si="5"/>
        <v>16337</v>
      </c>
      <c r="AE11" s="39">
        <f t="shared" si="6"/>
        <v>20457</v>
      </c>
      <c r="AF11" s="39">
        <f t="shared" si="7"/>
        <v>14891</v>
      </c>
      <c r="AG11" s="39">
        <f t="shared" si="8"/>
        <v>20721</v>
      </c>
      <c r="AH11" s="39">
        <f t="shared" si="13"/>
        <v>15432</v>
      </c>
      <c r="AI11" s="39">
        <f t="shared" si="9"/>
        <v>11968</v>
      </c>
      <c r="AJ11" s="39">
        <f t="shared" si="10"/>
        <v>11406</v>
      </c>
      <c r="AK11" s="40">
        <f t="shared" si="11"/>
        <v>15358.524510000003</v>
      </c>
    </row>
    <row r="12" spans="2:37" x14ac:dyDescent="0.25">
      <c r="B12" s="5"/>
      <c r="D12" s="38" t="s">
        <v>137</v>
      </c>
      <c r="E12" s="39">
        <v>-18547</v>
      </c>
      <c r="F12" s="39">
        <v>-32709.224891641526</v>
      </c>
      <c r="G12" s="39">
        <v>-39117</v>
      </c>
      <c r="H12" s="39">
        <v>-21932</v>
      </c>
      <c r="I12" s="39">
        <v>-32428.553819042852</v>
      </c>
      <c r="J12" s="39">
        <v>-47360</v>
      </c>
      <c r="K12" s="39">
        <v>-6437</v>
      </c>
      <c r="L12" s="39">
        <v>-9974</v>
      </c>
      <c r="M12" s="39">
        <v>-17173.93199369132</v>
      </c>
      <c r="N12" s="39">
        <v>-23243</v>
      </c>
      <c r="O12" s="39">
        <v>-9589</v>
      </c>
      <c r="P12" s="39">
        <v>-18414</v>
      </c>
      <c r="Q12" s="39">
        <v>-25662</v>
      </c>
      <c r="R12" s="39">
        <v>-32633</v>
      </c>
      <c r="S12" s="39">
        <v>-6755</v>
      </c>
      <c r="T12" s="39">
        <v>-10479</v>
      </c>
      <c r="U12" s="39">
        <v>-13734</v>
      </c>
      <c r="V12" s="40">
        <v>-20280.839263772472</v>
      </c>
      <c r="X12" s="39">
        <f t="shared" si="0"/>
        <v>-10496.553819042852</v>
      </c>
      <c r="Y12" s="39">
        <f t="shared" si="1"/>
        <v>-14931.446180957148</v>
      </c>
      <c r="Z12" s="39">
        <f t="shared" si="12"/>
        <v>-6437</v>
      </c>
      <c r="AA12" s="39">
        <f t="shared" si="2"/>
        <v>-3537</v>
      </c>
      <c r="AB12" s="39">
        <f t="shared" si="3"/>
        <v>-7199.9319936913198</v>
      </c>
      <c r="AC12" s="39">
        <f t="shared" si="4"/>
        <v>-6069.0680063086802</v>
      </c>
      <c r="AD12" s="39">
        <f t="shared" si="5"/>
        <v>-9589</v>
      </c>
      <c r="AE12" s="39">
        <f t="shared" si="6"/>
        <v>-8825</v>
      </c>
      <c r="AF12" s="39">
        <f t="shared" si="7"/>
        <v>-7248</v>
      </c>
      <c r="AG12" s="39">
        <f t="shared" si="8"/>
        <v>-6971</v>
      </c>
      <c r="AH12" s="39">
        <f t="shared" si="13"/>
        <v>-6755</v>
      </c>
      <c r="AI12" s="39">
        <f t="shared" si="9"/>
        <v>-3724</v>
      </c>
      <c r="AJ12" s="39">
        <f t="shared" si="10"/>
        <v>-3255</v>
      </c>
      <c r="AK12" s="40">
        <f t="shared" si="11"/>
        <v>-6546.8392637724719</v>
      </c>
    </row>
    <row r="13" spans="2:37" x14ac:dyDescent="0.25">
      <c r="B13" s="5"/>
      <c r="D13" s="10" t="s">
        <v>138</v>
      </c>
      <c r="E13" s="36">
        <f>SUM(E11:E12)</f>
        <v>33474</v>
      </c>
      <c r="F13" s="36">
        <f>SUM(F11:F12)</f>
        <v>21646.344568358465</v>
      </c>
      <c r="G13" s="36">
        <f t="shared" ref="G13:Q13" si="16">SUM(G11:G12)</f>
        <v>31570</v>
      </c>
      <c r="H13" s="36">
        <f t="shared" si="16"/>
        <v>13042</v>
      </c>
      <c r="I13" s="36">
        <f t="shared" si="16"/>
        <v>18229.214650957143</v>
      </c>
      <c r="J13" s="36">
        <f t="shared" si="16"/>
        <v>29253</v>
      </c>
      <c r="K13" s="36">
        <f t="shared" si="16"/>
        <v>6939</v>
      </c>
      <c r="L13" s="36">
        <f t="shared" si="16"/>
        <v>12795</v>
      </c>
      <c r="M13" s="36">
        <f t="shared" si="16"/>
        <v>22107.314486308667</v>
      </c>
      <c r="N13" s="36">
        <f t="shared" si="16"/>
        <v>34661</v>
      </c>
      <c r="O13" s="36">
        <f t="shared" si="16"/>
        <v>6748</v>
      </c>
      <c r="P13" s="36">
        <v>18380</v>
      </c>
      <c r="Q13" s="36">
        <f t="shared" si="16"/>
        <v>26023</v>
      </c>
      <c r="R13" s="36">
        <f>SUM(R11:R12)</f>
        <v>39773</v>
      </c>
      <c r="S13" s="36">
        <f>SUM(S11:S12)</f>
        <v>8677</v>
      </c>
      <c r="T13" s="36">
        <f>SUM(T11:T12)</f>
        <v>16921</v>
      </c>
      <c r="U13" s="36">
        <f>SUM(U11:U12)</f>
        <v>25072</v>
      </c>
      <c r="V13" s="37">
        <f>SUM(V11:V12)</f>
        <v>33883.685246227527</v>
      </c>
      <c r="X13" s="36">
        <f t="shared" si="0"/>
        <v>5187.214650957143</v>
      </c>
      <c r="Y13" s="36">
        <f t="shared" si="1"/>
        <v>11023.785349042857</v>
      </c>
      <c r="Z13" s="36">
        <f t="shared" si="12"/>
        <v>6939</v>
      </c>
      <c r="AA13" s="36">
        <f t="shared" si="2"/>
        <v>5856</v>
      </c>
      <c r="AB13" s="36">
        <f t="shared" si="3"/>
        <v>9312.3144863086673</v>
      </c>
      <c r="AC13" s="36">
        <f t="shared" si="4"/>
        <v>12553.685513691333</v>
      </c>
      <c r="AD13" s="36">
        <f t="shared" si="5"/>
        <v>6748</v>
      </c>
      <c r="AE13" s="36">
        <f t="shared" si="6"/>
        <v>11632</v>
      </c>
      <c r="AF13" s="36">
        <f t="shared" si="7"/>
        <v>7643</v>
      </c>
      <c r="AG13" s="36">
        <f t="shared" si="8"/>
        <v>13750</v>
      </c>
      <c r="AH13" s="36">
        <f t="shared" si="13"/>
        <v>8677</v>
      </c>
      <c r="AI13" s="36">
        <f t="shared" si="9"/>
        <v>8244</v>
      </c>
      <c r="AJ13" s="36">
        <f t="shared" si="10"/>
        <v>8151</v>
      </c>
      <c r="AK13" s="37">
        <f t="shared" si="11"/>
        <v>8811.6852462275274</v>
      </c>
    </row>
    <row r="14" spans="2:37" x14ac:dyDescent="0.25">
      <c r="B14" s="5"/>
      <c r="D14" s="10" t="s">
        <v>139</v>
      </c>
      <c r="E14" s="36">
        <f>SUM(E13,E10)</f>
        <v>151286</v>
      </c>
      <c r="F14" s="36">
        <f>SUM(F13,F10)</f>
        <v>102314.14286609477</v>
      </c>
      <c r="G14" s="36">
        <f t="shared" ref="G14:Q14" si="17">SUM(G13,G10)</f>
        <v>135220</v>
      </c>
      <c r="H14" s="36">
        <f t="shared" si="17"/>
        <v>75076</v>
      </c>
      <c r="I14" s="36">
        <f t="shared" si="17"/>
        <v>127793.07449881671</v>
      </c>
      <c r="J14" s="36">
        <f t="shared" si="17"/>
        <v>175192</v>
      </c>
      <c r="K14" s="36">
        <f t="shared" si="17"/>
        <v>38483</v>
      </c>
      <c r="L14" s="36">
        <f t="shared" si="17"/>
        <v>75934</v>
      </c>
      <c r="M14" s="36">
        <f t="shared" si="17"/>
        <v>111716.78670203255</v>
      </c>
      <c r="N14" s="36">
        <f t="shared" si="17"/>
        <v>138296</v>
      </c>
      <c r="O14" s="36">
        <f t="shared" si="17"/>
        <v>30856</v>
      </c>
      <c r="P14" s="36">
        <v>62431</v>
      </c>
      <c r="Q14" s="36">
        <f t="shared" si="17"/>
        <v>73470</v>
      </c>
      <c r="R14" s="36">
        <f>SUM(R13,R10)</f>
        <v>73123</v>
      </c>
      <c r="S14" s="36">
        <f>SUM(S13,S10)</f>
        <v>-8129</v>
      </c>
      <c r="T14" s="36">
        <f>SUM(T13,T10)</f>
        <v>-22459</v>
      </c>
      <c r="U14" s="36">
        <f>SUM(U13,U10)</f>
        <v>-22735</v>
      </c>
      <c r="V14" s="37">
        <f>SUM(V13,V10)</f>
        <v>-17148.037684499446</v>
      </c>
      <c r="X14" s="36">
        <f t="shared" si="0"/>
        <v>52717.074498816713</v>
      </c>
      <c r="Y14" s="36">
        <f t="shared" si="1"/>
        <v>47398.925501183287</v>
      </c>
      <c r="Z14" s="36">
        <f t="shared" si="12"/>
        <v>38483</v>
      </c>
      <c r="AA14" s="36">
        <f t="shared" si="2"/>
        <v>37451</v>
      </c>
      <c r="AB14" s="36">
        <f t="shared" si="3"/>
        <v>35782.78670203255</v>
      </c>
      <c r="AC14" s="36">
        <f t="shared" si="4"/>
        <v>26579.21329796745</v>
      </c>
      <c r="AD14" s="36">
        <f t="shared" si="5"/>
        <v>30856</v>
      </c>
      <c r="AE14" s="36">
        <f t="shared" si="6"/>
        <v>31575</v>
      </c>
      <c r="AF14" s="36">
        <f t="shared" si="7"/>
        <v>11039</v>
      </c>
      <c r="AG14" s="36">
        <f t="shared" si="8"/>
        <v>-347</v>
      </c>
      <c r="AH14" s="36">
        <f t="shared" si="13"/>
        <v>-8129</v>
      </c>
      <c r="AI14" s="36">
        <f t="shared" si="9"/>
        <v>-14330</v>
      </c>
      <c r="AJ14" s="36">
        <f t="shared" si="10"/>
        <v>-276</v>
      </c>
      <c r="AK14" s="37">
        <f t="shared" si="11"/>
        <v>5586.9623155005538</v>
      </c>
    </row>
    <row r="15" spans="2:37" x14ac:dyDescent="0.25">
      <c r="B15" s="5"/>
      <c r="D15" s="38" t="s">
        <v>140</v>
      </c>
      <c r="E15" s="39">
        <v>4677</v>
      </c>
      <c r="F15" s="39">
        <v>5809.7359739047224</v>
      </c>
      <c r="G15" s="39">
        <v>7617</v>
      </c>
      <c r="H15" s="39">
        <v>3444</v>
      </c>
      <c r="I15" s="39">
        <v>5116.6454408655263</v>
      </c>
      <c r="J15" s="39">
        <v>4432</v>
      </c>
      <c r="K15" s="39">
        <v>944</v>
      </c>
      <c r="L15" s="39">
        <v>1684</v>
      </c>
      <c r="M15" s="39">
        <v>3360.7093052500841</v>
      </c>
      <c r="N15" s="39">
        <v>6884</v>
      </c>
      <c r="O15" s="39">
        <v>1429</v>
      </c>
      <c r="P15" s="39">
        <v>2820</v>
      </c>
      <c r="Q15" s="39">
        <v>3712</v>
      </c>
      <c r="R15" s="39">
        <v>5635</v>
      </c>
      <c r="S15" s="39">
        <v>1083</v>
      </c>
      <c r="T15" s="39">
        <v>1955</v>
      </c>
      <c r="U15" s="39">
        <v>2759</v>
      </c>
      <c r="V15" s="40">
        <v>3342.5172512811978</v>
      </c>
      <c r="X15" s="39">
        <f t="shared" si="0"/>
        <v>1672.6454408655263</v>
      </c>
      <c r="Y15" s="39">
        <f t="shared" si="1"/>
        <v>-684.64544086552633</v>
      </c>
      <c r="Z15" s="39">
        <f t="shared" si="12"/>
        <v>944</v>
      </c>
      <c r="AA15" s="39">
        <f t="shared" si="2"/>
        <v>740</v>
      </c>
      <c r="AB15" s="39">
        <f t="shared" si="3"/>
        <v>1676.7093052500841</v>
      </c>
      <c r="AC15" s="39">
        <f t="shared" si="4"/>
        <v>3523.2906947499159</v>
      </c>
      <c r="AD15" s="39">
        <f t="shared" si="5"/>
        <v>1429</v>
      </c>
      <c r="AE15" s="39">
        <f t="shared" si="6"/>
        <v>1391</v>
      </c>
      <c r="AF15" s="39">
        <f t="shared" si="7"/>
        <v>892</v>
      </c>
      <c r="AG15" s="39">
        <f t="shared" si="8"/>
        <v>1923</v>
      </c>
      <c r="AH15" s="39">
        <f t="shared" si="13"/>
        <v>1083</v>
      </c>
      <c r="AI15" s="39">
        <f t="shared" si="9"/>
        <v>872</v>
      </c>
      <c r="AJ15" s="39">
        <f t="shared" si="10"/>
        <v>804</v>
      </c>
      <c r="AK15" s="40">
        <f t="shared" si="11"/>
        <v>583.51725128119779</v>
      </c>
    </row>
    <row r="16" spans="2:37" x14ac:dyDescent="0.25">
      <c r="B16" s="5"/>
      <c r="D16" s="10" t="s">
        <v>141</v>
      </c>
      <c r="E16" s="36">
        <f>SUM(E14:E15)</f>
        <v>155963</v>
      </c>
      <c r="F16" s="36">
        <f>SUM(F14:F15)</f>
        <v>108123.8788399995</v>
      </c>
      <c r="G16" s="36">
        <f t="shared" ref="G16:Q16" si="18">SUM(G14:G15)</f>
        <v>142837</v>
      </c>
      <c r="H16" s="36">
        <f t="shared" si="18"/>
        <v>78520</v>
      </c>
      <c r="I16" s="36">
        <f t="shared" si="18"/>
        <v>132909.71993968223</v>
      </c>
      <c r="J16" s="36">
        <f t="shared" si="18"/>
        <v>179624</v>
      </c>
      <c r="K16" s="36">
        <f t="shared" si="18"/>
        <v>39427</v>
      </c>
      <c r="L16" s="36">
        <f t="shared" si="18"/>
        <v>77618</v>
      </c>
      <c r="M16" s="36">
        <f t="shared" si="18"/>
        <v>115077.49600728264</v>
      </c>
      <c r="N16" s="36">
        <f t="shared" si="18"/>
        <v>145180</v>
      </c>
      <c r="O16" s="36">
        <f t="shared" si="18"/>
        <v>32285</v>
      </c>
      <c r="P16" s="36">
        <v>65251</v>
      </c>
      <c r="Q16" s="36">
        <f t="shared" si="18"/>
        <v>77182</v>
      </c>
      <c r="R16" s="36">
        <f>SUM(R14:R15)</f>
        <v>78758</v>
      </c>
      <c r="S16" s="36">
        <f>SUM(S14:S15)</f>
        <v>-7046</v>
      </c>
      <c r="T16" s="36">
        <f>SUM(T14:T15)</f>
        <v>-20504</v>
      </c>
      <c r="U16" s="36">
        <f>SUM(U14:U15)</f>
        <v>-19976</v>
      </c>
      <c r="V16" s="37">
        <f>SUM(V14:V15)</f>
        <v>-13805.520433218247</v>
      </c>
      <c r="X16" s="36">
        <f t="shared" si="0"/>
        <v>54389.719939682225</v>
      </c>
      <c r="Y16" s="36">
        <f t="shared" si="1"/>
        <v>46714.280060317775</v>
      </c>
      <c r="Z16" s="36">
        <f t="shared" si="12"/>
        <v>39427</v>
      </c>
      <c r="AA16" s="36">
        <f t="shared" si="2"/>
        <v>38191</v>
      </c>
      <c r="AB16" s="36">
        <f t="shared" si="3"/>
        <v>37459.496007282636</v>
      </c>
      <c r="AC16" s="36">
        <f t="shared" si="4"/>
        <v>30102.503992717364</v>
      </c>
      <c r="AD16" s="36">
        <f t="shared" si="5"/>
        <v>32285</v>
      </c>
      <c r="AE16" s="36">
        <f t="shared" si="6"/>
        <v>32966</v>
      </c>
      <c r="AF16" s="36">
        <f t="shared" si="7"/>
        <v>11931</v>
      </c>
      <c r="AG16" s="36">
        <f t="shared" si="8"/>
        <v>1576</v>
      </c>
      <c r="AH16" s="36">
        <f t="shared" si="13"/>
        <v>-7046</v>
      </c>
      <c r="AI16" s="36">
        <f t="shared" si="9"/>
        <v>-13458</v>
      </c>
      <c r="AJ16" s="36">
        <f t="shared" si="10"/>
        <v>528</v>
      </c>
      <c r="AK16" s="37">
        <f t="shared" si="11"/>
        <v>6170.4795667817525</v>
      </c>
    </row>
    <row r="17" spans="2:37" ht="15.75" thickBot="1" x14ac:dyDescent="0.3">
      <c r="B17" s="5"/>
      <c r="D17" s="38" t="s">
        <v>142</v>
      </c>
      <c r="E17" s="39">
        <v>-38752</v>
      </c>
      <c r="F17" s="39">
        <v>-26601.341855272254</v>
      </c>
      <c r="G17" s="39">
        <v>-35542</v>
      </c>
      <c r="H17" s="39">
        <v>-19631</v>
      </c>
      <c r="I17" s="39">
        <v>-33255.541249920563</v>
      </c>
      <c r="J17" s="39">
        <v>-44778</v>
      </c>
      <c r="K17" s="39">
        <v>-9827</v>
      </c>
      <c r="L17" s="39">
        <v>-19408</v>
      </c>
      <c r="M17" s="39">
        <v>-28784.250481820487</v>
      </c>
      <c r="N17" s="39">
        <v>-35043</v>
      </c>
      <c r="O17" s="39">
        <v>-8096</v>
      </c>
      <c r="P17" s="39">
        <v>-16275</v>
      </c>
      <c r="Q17" s="39">
        <v>-18872</v>
      </c>
      <c r="R17" s="39">
        <v>-19235</v>
      </c>
      <c r="S17" s="39">
        <v>1764</v>
      </c>
      <c r="T17" s="39">
        <v>4945</v>
      </c>
      <c r="U17" s="39">
        <v>5288</v>
      </c>
      <c r="V17" s="40">
        <v>3971.5743408044718</v>
      </c>
      <c r="X17" s="39">
        <f t="shared" si="0"/>
        <v>-13624.541249920563</v>
      </c>
      <c r="Y17" s="39">
        <f t="shared" si="1"/>
        <v>-11522.458750079437</v>
      </c>
      <c r="Z17" s="39">
        <f t="shared" si="12"/>
        <v>-9827</v>
      </c>
      <c r="AA17" s="39">
        <f t="shared" si="2"/>
        <v>-9581</v>
      </c>
      <c r="AB17" s="39">
        <f t="shared" si="3"/>
        <v>-9376.250481820487</v>
      </c>
      <c r="AC17" s="39">
        <f t="shared" si="4"/>
        <v>-6258.749518179513</v>
      </c>
      <c r="AD17" s="39">
        <f t="shared" si="5"/>
        <v>-8096</v>
      </c>
      <c r="AE17" s="39">
        <f t="shared" si="6"/>
        <v>-8179</v>
      </c>
      <c r="AF17" s="39">
        <f t="shared" si="7"/>
        <v>-2597</v>
      </c>
      <c r="AG17" s="39">
        <f t="shared" si="8"/>
        <v>-363</v>
      </c>
      <c r="AH17" s="39">
        <f t="shared" si="13"/>
        <v>1764</v>
      </c>
      <c r="AI17" s="39">
        <f t="shared" si="9"/>
        <v>3181</v>
      </c>
      <c r="AJ17" s="39">
        <f t="shared" si="10"/>
        <v>343</v>
      </c>
      <c r="AK17" s="40">
        <f t="shared" si="11"/>
        <v>-1316.4256591955282</v>
      </c>
    </row>
    <row r="18" spans="2:37" ht="15.75" thickBot="1" x14ac:dyDescent="0.3">
      <c r="B18" s="5"/>
      <c r="D18" s="15" t="s">
        <v>143</v>
      </c>
      <c r="E18" s="41">
        <f>SUM(E16:E17)</f>
        <v>117211</v>
      </c>
      <c r="F18" s="41">
        <f>SUM(F16:F17)</f>
        <v>81522.536984727238</v>
      </c>
      <c r="G18" s="41">
        <f t="shared" ref="G18:V18" si="19">SUM(G16:G17)</f>
        <v>107295</v>
      </c>
      <c r="H18" s="41">
        <f t="shared" si="19"/>
        <v>58889</v>
      </c>
      <c r="I18" s="41">
        <f t="shared" si="19"/>
        <v>99654.178689761669</v>
      </c>
      <c r="J18" s="41">
        <f t="shared" si="19"/>
        <v>134846</v>
      </c>
      <c r="K18" s="41">
        <f t="shared" si="19"/>
        <v>29600</v>
      </c>
      <c r="L18" s="41">
        <f t="shared" si="19"/>
        <v>58210</v>
      </c>
      <c r="M18" s="41">
        <f t="shared" si="19"/>
        <v>86293.245525462145</v>
      </c>
      <c r="N18" s="41">
        <f t="shared" si="19"/>
        <v>110137</v>
      </c>
      <c r="O18" s="41">
        <f t="shared" si="19"/>
        <v>24189</v>
      </c>
      <c r="P18" s="41">
        <v>48976</v>
      </c>
      <c r="Q18" s="41">
        <f t="shared" si="19"/>
        <v>58310</v>
      </c>
      <c r="R18" s="41">
        <f t="shared" si="19"/>
        <v>59523</v>
      </c>
      <c r="S18" s="41">
        <f t="shared" si="19"/>
        <v>-5282</v>
      </c>
      <c r="T18" s="41">
        <f t="shared" si="19"/>
        <v>-15559</v>
      </c>
      <c r="U18" s="41">
        <f t="shared" si="19"/>
        <v>-14688</v>
      </c>
      <c r="V18" s="42">
        <f t="shared" si="19"/>
        <v>-9833.9460924137747</v>
      </c>
      <c r="X18" s="41">
        <f t="shared" si="0"/>
        <v>40765.178689761669</v>
      </c>
      <c r="Y18" s="41">
        <f t="shared" si="1"/>
        <v>35191.821310238331</v>
      </c>
      <c r="Z18" s="41">
        <f t="shared" si="12"/>
        <v>29600</v>
      </c>
      <c r="AA18" s="41">
        <f t="shared" si="2"/>
        <v>28610</v>
      </c>
      <c r="AB18" s="41">
        <f t="shared" si="3"/>
        <v>28083.245525462145</v>
      </c>
      <c r="AC18" s="41">
        <f>N18-M18</f>
        <v>23843.754474537855</v>
      </c>
      <c r="AD18" s="41">
        <f>O18</f>
        <v>24189</v>
      </c>
      <c r="AE18" s="41">
        <f t="shared" si="6"/>
        <v>24787</v>
      </c>
      <c r="AF18" s="41">
        <f t="shared" si="7"/>
        <v>9334</v>
      </c>
      <c r="AG18" s="41">
        <f t="shared" si="8"/>
        <v>1213</v>
      </c>
      <c r="AH18" s="41">
        <f t="shared" si="13"/>
        <v>-5282</v>
      </c>
      <c r="AI18" s="41">
        <f t="shared" si="9"/>
        <v>-10277</v>
      </c>
      <c r="AJ18" s="41">
        <f t="shared" si="10"/>
        <v>871</v>
      </c>
      <c r="AK18" s="42">
        <f t="shared" si="11"/>
        <v>4854.0539075862253</v>
      </c>
    </row>
    <row r="19" spans="2:37" s="5" customFormat="1" ht="9" customHeight="1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2:37" s="5" customFormat="1" x14ac:dyDescent="0.25">
      <c r="E20" s="21"/>
      <c r="F20" s="21"/>
      <c r="G20" s="21"/>
      <c r="H20" s="21"/>
      <c r="I20" s="21"/>
      <c r="J20" s="21"/>
      <c r="K20" s="21"/>
      <c r="L20" s="21"/>
      <c r="M20" s="21"/>
      <c r="S20" s="22"/>
      <c r="T20" s="22"/>
      <c r="U20" s="22"/>
      <c r="V20" s="22" t="s">
        <v>29</v>
      </c>
      <c r="W20" s="22"/>
      <c r="X20" s="21"/>
      <c r="Y20" s="21"/>
      <c r="Z20" s="21"/>
      <c r="AA20" s="21"/>
      <c r="AB20" s="21"/>
      <c r="AF20" s="119"/>
      <c r="AH20" s="22"/>
      <c r="AI20" s="22"/>
      <c r="AJ20" s="22"/>
      <c r="AK20" s="22" t="s">
        <v>29</v>
      </c>
    </row>
    <row r="21" spans="2:37" x14ac:dyDescent="0.25">
      <c r="D21" s="43"/>
      <c r="G21" s="114"/>
    </row>
    <row r="22" spans="2:37" x14ac:dyDescent="0.25">
      <c r="G22" s="120"/>
    </row>
    <row r="23" spans="2:37" ht="15.75" thickBot="1" x14ac:dyDescent="0.3">
      <c r="D23" s="6"/>
      <c r="E23" s="7" t="s">
        <v>6</v>
      </c>
      <c r="F23" s="34" t="s">
        <v>115</v>
      </c>
      <c r="G23" s="7" t="s">
        <v>3</v>
      </c>
      <c r="H23" s="34" t="s">
        <v>116</v>
      </c>
      <c r="I23" s="34" t="s">
        <v>117</v>
      </c>
      <c r="J23" s="7" t="s">
        <v>4</v>
      </c>
      <c r="K23" s="34" t="s">
        <v>118</v>
      </c>
      <c r="L23" s="34" t="s">
        <v>119</v>
      </c>
      <c r="M23" s="34" t="s">
        <v>120</v>
      </c>
      <c r="N23" s="34" t="s">
        <v>14</v>
      </c>
      <c r="O23" s="34" t="s">
        <v>121</v>
      </c>
      <c r="P23" s="34" t="s">
        <v>122</v>
      </c>
      <c r="Q23" s="34" t="s">
        <v>123</v>
      </c>
      <c r="R23" s="7" t="s">
        <v>16</v>
      </c>
      <c r="S23" s="7" t="s">
        <v>17</v>
      </c>
      <c r="T23" s="7" t="s">
        <v>88</v>
      </c>
      <c r="U23" s="7" t="s">
        <v>92</v>
      </c>
      <c r="V23" s="8" t="s">
        <v>95</v>
      </c>
      <c r="X23" s="34" t="s">
        <v>124</v>
      </c>
      <c r="Y23" s="34" t="s">
        <v>125</v>
      </c>
      <c r="Z23" s="34" t="s">
        <v>126</v>
      </c>
      <c r="AA23" s="34" t="s">
        <v>127</v>
      </c>
      <c r="AB23" s="34" t="s">
        <v>128</v>
      </c>
      <c r="AC23" s="34" t="s">
        <v>129</v>
      </c>
      <c r="AD23" s="34" t="s">
        <v>130</v>
      </c>
      <c r="AE23" s="34" t="s">
        <v>131</v>
      </c>
      <c r="AF23" s="34" t="s">
        <v>132</v>
      </c>
      <c r="AG23" s="34" t="s">
        <v>133</v>
      </c>
      <c r="AH23" s="34" t="s">
        <v>41</v>
      </c>
      <c r="AI23" s="34" t="s">
        <v>89</v>
      </c>
      <c r="AJ23" s="34" t="s">
        <v>93</v>
      </c>
      <c r="AK23" s="35" t="s">
        <v>94</v>
      </c>
    </row>
    <row r="24" spans="2:37" x14ac:dyDescent="0.25">
      <c r="D24" s="12" t="s">
        <v>39</v>
      </c>
      <c r="E24" s="19">
        <f>-E7/E6</f>
        <v>0.64686526463054139</v>
      </c>
      <c r="F24" s="19">
        <f>-F7/F6</f>
        <v>0.67806693457017408</v>
      </c>
      <c r="G24" s="19">
        <f t="shared" ref="G24:I24" si="20">-G7/G6</f>
        <v>0.67970616382104021</v>
      </c>
      <c r="H24" s="19">
        <f t="shared" si="20"/>
        <v>0.64370165745856356</v>
      </c>
      <c r="I24" s="19">
        <f t="shared" si="20"/>
        <v>0.61770867470308044</v>
      </c>
      <c r="J24" s="19">
        <f>-J7/J6</f>
        <v>0.61498308427572124</v>
      </c>
      <c r="K24" s="19">
        <f>-K7/K6</f>
        <v>0.65791687077722216</v>
      </c>
      <c r="L24" s="19">
        <f t="shared" ref="L24:U24" si="21">-L7/L6</f>
        <v>0.65341645393389347</v>
      </c>
      <c r="M24" s="19">
        <f t="shared" si="21"/>
        <v>0.65935325154689928</v>
      </c>
      <c r="N24" s="19">
        <f t="shared" si="21"/>
        <v>0.67724146056316326</v>
      </c>
      <c r="O24" s="19">
        <f t="shared" si="21"/>
        <v>0.69145899659677246</v>
      </c>
      <c r="P24" s="19">
        <f t="shared" si="21"/>
        <v>0.70226536484213531</v>
      </c>
      <c r="Q24" s="19">
        <f t="shared" si="21"/>
        <v>0.72830126142696971</v>
      </c>
      <c r="R24" s="19">
        <f t="shared" si="21"/>
        <v>0.75667825463250304</v>
      </c>
      <c r="S24" s="19">
        <f t="shared" si="21"/>
        <v>0.8630382592040301</v>
      </c>
      <c r="T24" s="19">
        <f t="shared" si="21"/>
        <v>0.88871597520432188</v>
      </c>
      <c r="U24" s="19">
        <f t="shared" si="21"/>
        <v>0.87312832694178921</v>
      </c>
      <c r="V24" s="24">
        <f t="shared" ref="V24" si="22">-V7/V6</f>
        <v>0.85514261034189998</v>
      </c>
      <c r="X24" s="19">
        <f t="shared" ref="X24:AF24" si="23">-X7/X6</f>
        <v>0.56634394796042486</v>
      </c>
      <c r="Y24" s="19">
        <f t="shared" si="23"/>
        <v>0.60702079619173344</v>
      </c>
      <c r="Z24" s="19">
        <f t="shared" si="23"/>
        <v>0.65791687077722216</v>
      </c>
      <c r="AA24" s="19">
        <f t="shared" si="23"/>
        <v>0.64898204519892355</v>
      </c>
      <c r="AB24" s="19">
        <f t="shared" si="23"/>
        <v>0.67098447235863878</v>
      </c>
      <c r="AC24" s="19">
        <f t="shared" si="23"/>
        <v>0.72978463657366088</v>
      </c>
      <c r="AD24" s="19">
        <f t="shared" si="23"/>
        <v>0.69145899659677246</v>
      </c>
      <c r="AE24" s="19">
        <f t="shared" si="23"/>
        <v>0.71285344854631749</v>
      </c>
      <c r="AF24" s="19">
        <f t="shared" si="23"/>
        <v>0.77873172613984165</v>
      </c>
      <c r="AG24" s="19">
        <f>-AG7/AG6</f>
        <v>0.83901234567901239</v>
      </c>
      <c r="AH24" s="19">
        <f>-AH7/AH6</f>
        <v>0.8630382592040301</v>
      </c>
      <c r="AI24" s="19">
        <f>-AI7/AI6</f>
        <v>0.91388066289818681</v>
      </c>
      <c r="AJ24" s="19">
        <f>-AJ7/AJ6</f>
        <v>0.84271864338073843</v>
      </c>
      <c r="AK24" s="24">
        <f>-AK7/AK6</f>
        <v>0.8022815222487768</v>
      </c>
    </row>
    <row r="25" spans="2:37" ht="15.75" thickBot="1" x14ac:dyDescent="0.3">
      <c r="D25" s="12" t="s">
        <v>40</v>
      </c>
      <c r="E25" s="19">
        <f>-(E8+E9)/E6</f>
        <v>0.20880839996618844</v>
      </c>
      <c r="F25" s="19">
        <f>-(F8+F9)/F6</f>
        <v>0.19615531286821644</v>
      </c>
      <c r="G25" s="19">
        <f t="shared" ref="G25:I25" si="24">-(G8+G9)/G6</f>
        <v>0.19903201124991518</v>
      </c>
      <c r="H25" s="19">
        <f t="shared" si="24"/>
        <v>0.21349447513812156</v>
      </c>
      <c r="I25" s="19">
        <f t="shared" si="24"/>
        <v>0.21482060547230089</v>
      </c>
      <c r="J25" s="19">
        <f>-(J8+J9)/J6</f>
        <v>0.21883287765450474</v>
      </c>
      <c r="K25" s="19">
        <f>-(K8+K9)/K6</f>
        <v>0.19630660024215985</v>
      </c>
      <c r="L25" s="19">
        <f t="shared" ref="L25:U25" si="25">-(L8+L9)/L6</f>
        <v>0.20176700084634386</v>
      </c>
      <c r="M25" s="19">
        <f t="shared" si="25"/>
        <v>0.2045721926805609</v>
      </c>
      <c r="N25" s="19">
        <f t="shared" si="25"/>
        <v>0.20535544357944915</v>
      </c>
      <c r="O25" s="19">
        <f t="shared" si="25"/>
        <v>0.19826545175101548</v>
      </c>
      <c r="P25" s="19">
        <f t="shared" si="25"/>
        <v>0.19801285374395289</v>
      </c>
      <c r="Q25" s="19">
        <f t="shared" si="25"/>
        <v>0.20086085784200289</v>
      </c>
      <c r="R25" s="19">
        <f t="shared" si="25"/>
        <v>0.20629280950250209</v>
      </c>
      <c r="S25" s="19">
        <f t="shared" si="25"/>
        <v>0.21045404653725561</v>
      </c>
      <c r="T25" s="19">
        <f t="shared" si="25"/>
        <v>0.19651916816733619</v>
      </c>
      <c r="U25" s="19">
        <f t="shared" si="25"/>
        <v>0.19528075095873162</v>
      </c>
      <c r="V25" s="24">
        <f t="shared" ref="V25" si="26">-(V8+V9)/V6</f>
        <v>0.19934255923910649</v>
      </c>
      <c r="X25" s="19">
        <f t="shared" ref="X25:AE25" si="27">-(X8+X9)/X6</f>
        <v>0.21744117129504786</v>
      </c>
      <c r="Y25" s="19">
        <f t="shared" si="27"/>
        <v>0.23055395895321951</v>
      </c>
      <c r="Z25" s="19">
        <f t="shared" si="27"/>
        <v>0.19630660024215985</v>
      </c>
      <c r="AA25" s="19">
        <f t="shared" si="27"/>
        <v>0.20714731315486301</v>
      </c>
      <c r="AB25" s="19">
        <f t="shared" si="27"/>
        <v>0.21006805219438179</v>
      </c>
      <c r="AC25" s="19">
        <f t="shared" si="27"/>
        <v>0.20765609256019665</v>
      </c>
      <c r="AD25" s="19">
        <f t="shared" si="27"/>
        <v>0.19826545175101548</v>
      </c>
      <c r="AE25" s="19">
        <f t="shared" si="27"/>
        <v>0.1977653581208571</v>
      </c>
      <c r="AF25" s="19">
        <f t="shared" ref="AF25:AK25" si="28">-(AF8+AF9)/AF6</f>
        <v>0.20637732506643047</v>
      </c>
      <c r="AG25" s="19">
        <f t="shared" si="28"/>
        <v>0.22205328135152697</v>
      </c>
      <c r="AH25" s="19">
        <f t="shared" si="28"/>
        <v>0.21045404653725561</v>
      </c>
      <c r="AI25" s="19">
        <f t="shared" si="28"/>
        <v>0.18286270190581086</v>
      </c>
      <c r="AJ25" s="19">
        <f t="shared" si="28"/>
        <v>0.19286474343816504</v>
      </c>
      <c r="AK25" s="24">
        <f t="shared" si="28"/>
        <v>0.2112804547426749</v>
      </c>
    </row>
    <row r="26" spans="2:37" ht="15.75" thickBot="1" x14ac:dyDescent="0.3">
      <c r="D26" s="15" t="s">
        <v>36</v>
      </c>
      <c r="E26" s="26">
        <f>-(E7+E8+E9)/E6</f>
        <v>0.85567366459672989</v>
      </c>
      <c r="F26" s="26">
        <f>-(F7+F8+F9)/F6</f>
        <v>0.8742222474383905</v>
      </c>
      <c r="G26" s="26">
        <f t="shared" ref="G26:I26" si="29">-(G7+G8+G9)/G6</f>
        <v>0.87873817507095542</v>
      </c>
      <c r="H26" s="26">
        <f t="shared" si="29"/>
        <v>0.85719613259668503</v>
      </c>
      <c r="I26" s="26">
        <f t="shared" si="29"/>
        <v>0.83252928017538153</v>
      </c>
      <c r="J26" s="26">
        <f>-(J7+J8+J9)/J6</f>
        <v>0.83381596193022589</v>
      </c>
      <c r="K26" s="26">
        <f>-(K7+K8+K9)/K6</f>
        <v>0.85422347101938201</v>
      </c>
      <c r="L26" s="26">
        <f t="shared" ref="L26:U26" si="30">-(L7+L8+L9)/L6</f>
        <v>0.85518345478023727</v>
      </c>
      <c r="M26" s="26">
        <f t="shared" si="30"/>
        <v>0.8639254442274602</v>
      </c>
      <c r="N26" s="26">
        <f t="shared" si="30"/>
        <v>0.88259690414261249</v>
      </c>
      <c r="O26" s="26">
        <f t="shared" si="30"/>
        <v>0.88972444834778786</v>
      </c>
      <c r="P26" s="26">
        <f t="shared" si="30"/>
        <v>0.90027821858608814</v>
      </c>
      <c r="Q26" s="26">
        <f t="shared" si="30"/>
        <v>0.92916211926897252</v>
      </c>
      <c r="R26" s="26">
        <f t="shared" si="30"/>
        <v>0.96297106413500522</v>
      </c>
      <c r="S26" s="26">
        <f t="shared" si="30"/>
        <v>1.0734923057412857</v>
      </c>
      <c r="T26" s="26">
        <f t="shared" si="30"/>
        <v>1.0852351433716581</v>
      </c>
      <c r="U26" s="26">
        <f t="shared" si="30"/>
        <v>1.0684090779005209</v>
      </c>
      <c r="V26" s="27">
        <f t="shared" ref="V26" si="31">-(V7+V8+V9)/V6</f>
        <v>1.0544851695810065</v>
      </c>
      <c r="X26" s="26">
        <f t="shared" ref="X26:AF26" si="32">-(X7+X8+X9)/X6</f>
        <v>0.78378511925547267</v>
      </c>
      <c r="Y26" s="26">
        <f t="shared" si="32"/>
        <v>0.83757475514495305</v>
      </c>
      <c r="Z26" s="26">
        <f t="shared" si="32"/>
        <v>0.85422347101938201</v>
      </c>
      <c r="AA26" s="26">
        <f t="shared" si="32"/>
        <v>0.85612935835378656</v>
      </c>
      <c r="AB26" s="26">
        <f t="shared" si="32"/>
        <v>0.88105252455302052</v>
      </c>
      <c r="AC26" s="26">
        <f t="shared" si="32"/>
        <v>0.93744072913385756</v>
      </c>
      <c r="AD26" s="26">
        <f t="shared" si="32"/>
        <v>0.88972444834778786</v>
      </c>
      <c r="AE26" s="26">
        <f t="shared" si="32"/>
        <v>0.91061880666717465</v>
      </c>
      <c r="AF26" s="26">
        <f t="shared" si="32"/>
        <v>0.98510905120627212</v>
      </c>
      <c r="AG26" s="26">
        <f>-(AG7+AG8+AG9)/AG6</f>
        <v>1.0610656270305394</v>
      </c>
      <c r="AH26" s="26">
        <f>-(AH7+AH8+AH9)/AH6</f>
        <v>1.0734923057412857</v>
      </c>
      <c r="AI26" s="26">
        <f>-(AI7+AI8+AI9)/AI6</f>
        <v>1.0967433648039977</v>
      </c>
      <c r="AJ26" s="26">
        <f>-(AJ7+AJ8+AJ9)/AJ6</f>
        <v>1.0355833868189035</v>
      </c>
      <c r="AK26" s="27">
        <f>-(AK7+AK8+AK9)/AK6</f>
        <v>1.0135619769914517</v>
      </c>
    </row>
    <row r="29" spans="2:37" x14ac:dyDescent="0.25">
      <c r="AF29" s="121"/>
      <c r="AG29" s="121"/>
    </row>
  </sheetData>
  <hyperlinks>
    <hyperlink ref="B2" location="'Suplemento Financiero&gt;&gt;&gt;'!A1" display="ÍNDICE" xr:uid="{FEAE8C21-46FA-4EC5-AC15-4D0B70FD8A44}"/>
  </hyperlinks>
  <pageMargins left="0.7" right="0.7" top="0.75" bottom="0.75" header="0.3" footer="0.3"/>
  <pageSetup paperSize="9" scale="63" orientation="landscape" r:id="rId1"/>
  <colBreaks count="1" manualBreakCount="1">
    <brk id="31" max="1048575" man="1"/>
  </colBreaks>
  <ignoredErrors>
    <ignoredError sqref="E10:V10 E17:T17 E13:U14 E11:T11 E12:T12 E16:U16 E15:T1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W30"/>
  <sheetViews>
    <sheetView showGridLines="0" zoomScaleNormal="100" workbookViewId="0">
      <selection activeCell="B2" sqref="B2"/>
    </sheetView>
  </sheetViews>
  <sheetFormatPr baseColWidth="10" defaultColWidth="11.42578125" defaultRowHeight="15" outlineLevelCol="1" x14ac:dyDescent="0.25"/>
  <cols>
    <col min="1" max="1" width="1.5703125" style="5" customWidth="1"/>
    <col min="2" max="2" width="10.7109375" style="5" customWidth="1"/>
    <col min="3" max="3" width="1.5703125" style="5" customWidth="1"/>
    <col min="4" max="4" width="14.28515625" style="5" customWidth="1"/>
    <col min="5" max="5" width="11.28515625" style="5" customWidth="1"/>
    <col min="6" max="6" width="11.28515625" style="5" hidden="1" customWidth="1" outlineLevel="1"/>
    <col min="7" max="7" width="11.28515625" style="5" customWidth="1" collapsed="1"/>
    <col min="8" max="9" width="11.28515625" style="5" hidden="1" customWidth="1" outlineLevel="1"/>
    <col min="10" max="10" width="11.28515625" style="5" customWidth="1" collapsed="1"/>
    <col min="11" max="13" width="11.28515625" style="5" hidden="1" customWidth="1" outlineLevel="1"/>
    <col min="14" max="14" width="11.28515625" style="5" customWidth="1" collapsed="1"/>
    <col min="15" max="17" width="11.28515625" style="5" hidden="1" customWidth="1" outlineLevel="1"/>
    <col min="18" max="18" width="11.28515625" style="5" customWidth="1" collapsed="1"/>
    <col min="19" max="21" width="11.28515625" style="5" hidden="1" customWidth="1" outlineLevel="1"/>
    <col min="22" max="22" width="11.28515625" style="5" customWidth="1" collapsed="1"/>
    <col min="23" max="16384" width="11.42578125" style="5"/>
  </cols>
  <sheetData>
    <row r="1" spans="2:23" ht="16.5" customHeight="1" x14ac:dyDescent="0.25"/>
    <row r="2" spans="2:23" ht="18.75" customHeight="1" thickBot="1" x14ac:dyDescent="0.3">
      <c r="B2" s="3" t="s">
        <v>27</v>
      </c>
      <c r="D2" s="4" t="s">
        <v>144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x14ac:dyDescent="0.25">
      <c r="B3" s="44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2:23" x14ac:dyDescent="0.25">
      <c r="B4" s="44"/>
      <c r="D4" s="45"/>
      <c r="E4" s="171" t="s">
        <v>96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2:23" ht="15.75" thickBot="1" x14ac:dyDescent="0.3">
      <c r="B5" s="44"/>
      <c r="D5" s="6"/>
      <c r="E5" s="46" t="s">
        <v>6</v>
      </c>
      <c r="F5" s="46" t="s">
        <v>115</v>
      </c>
      <c r="G5" s="46" t="s">
        <v>3</v>
      </c>
      <c r="H5" s="46" t="s">
        <v>116</v>
      </c>
      <c r="I5" s="46" t="s">
        <v>117</v>
      </c>
      <c r="J5" s="46" t="s">
        <v>4</v>
      </c>
      <c r="K5" s="46" t="s">
        <v>118</v>
      </c>
      <c r="L5" s="46" t="s">
        <v>119</v>
      </c>
      <c r="M5" s="46" t="s">
        <v>120</v>
      </c>
      <c r="N5" s="46" t="s">
        <v>14</v>
      </c>
      <c r="O5" s="46" t="s">
        <v>121</v>
      </c>
      <c r="P5" s="46" t="s">
        <v>122</v>
      </c>
      <c r="Q5" s="46" t="s">
        <v>123</v>
      </c>
      <c r="R5" s="46" t="s">
        <v>16</v>
      </c>
      <c r="S5" s="46" t="s">
        <v>17</v>
      </c>
      <c r="T5" s="46" t="s">
        <v>88</v>
      </c>
      <c r="U5" s="46" t="s">
        <v>92</v>
      </c>
      <c r="V5" s="47" t="s">
        <v>95</v>
      </c>
      <c r="W5" s="48" t="s">
        <v>0</v>
      </c>
    </row>
    <row r="6" spans="2:23" x14ac:dyDescent="0.25">
      <c r="B6" s="44"/>
      <c r="D6" s="12" t="s">
        <v>15</v>
      </c>
      <c r="E6" s="13">
        <v>741178</v>
      </c>
      <c r="F6" s="13">
        <v>573625.1777</v>
      </c>
      <c r="G6" s="13">
        <v>761158.29799999995</v>
      </c>
      <c r="H6" s="13">
        <v>377490.58504999999</v>
      </c>
      <c r="I6" s="13">
        <v>567177.75003999996</v>
      </c>
      <c r="J6" s="13">
        <v>754656.36600000004</v>
      </c>
      <c r="K6" s="13">
        <v>178953</v>
      </c>
      <c r="L6" s="13">
        <v>373701</v>
      </c>
      <c r="M6" s="13">
        <v>563300.91514000006</v>
      </c>
      <c r="N6" s="13">
        <v>748100</v>
      </c>
      <c r="O6" s="13">
        <v>181928</v>
      </c>
      <c r="P6" s="13">
        <v>383206</v>
      </c>
      <c r="Q6" s="13">
        <v>579419</v>
      </c>
      <c r="R6" s="31">
        <v>772787</v>
      </c>
      <c r="S6" s="31">
        <v>191528</v>
      </c>
      <c r="T6" s="31">
        <v>396108</v>
      </c>
      <c r="U6" s="31">
        <v>595240</v>
      </c>
      <c r="V6" s="32">
        <v>792683.99068999989</v>
      </c>
      <c r="W6" s="49">
        <f>+V6/R6-1</f>
        <v>2.5747056679265912E-2</v>
      </c>
    </row>
    <row r="7" spans="2:23" x14ac:dyDescent="0.25">
      <c r="B7" s="44"/>
      <c r="D7" s="12" t="s">
        <v>21</v>
      </c>
      <c r="E7" s="13">
        <v>100691</v>
      </c>
      <c r="F7" s="13">
        <v>82446.400180000026</v>
      </c>
      <c r="G7" s="13">
        <v>111356.549</v>
      </c>
      <c r="H7" s="13">
        <v>59705.956969999999</v>
      </c>
      <c r="I7" s="13">
        <v>89543.79578</v>
      </c>
      <c r="J7" s="13">
        <v>120653.628</v>
      </c>
      <c r="K7" s="13">
        <v>31764</v>
      </c>
      <c r="L7" s="13">
        <v>64779</v>
      </c>
      <c r="M7" s="13">
        <v>97044.810309999986</v>
      </c>
      <c r="N7" s="13">
        <v>131243</v>
      </c>
      <c r="O7" s="13">
        <v>35256</v>
      </c>
      <c r="P7" s="13">
        <v>71667</v>
      </c>
      <c r="Q7" s="13">
        <v>106896</v>
      </c>
      <c r="R7" s="31">
        <v>143713</v>
      </c>
      <c r="S7" s="31">
        <v>37607</v>
      </c>
      <c r="T7" s="31">
        <v>75283</v>
      </c>
      <c r="U7" s="31">
        <v>111604</v>
      </c>
      <c r="V7" s="32">
        <v>149430.37938000003</v>
      </c>
      <c r="W7" s="49">
        <f t="shared" ref="W7:W10" si="0">+V7/R7-1</f>
        <v>3.9783313826863509E-2</v>
      </c>
    </row>
    <row r="8" spans="2:23" x14ac:dyDescent="0.25">
      <c r="B8" s="44"/>
      <c r="D8" s="12" t="s">
        <v>22</v>
      </c>
      <c r="E8" s="13">
        <v>7518</v>
      </c>
      <c r="F8" s="13">
        <v>12243.391560000002</v>
      </c>
      <c r="G8" s="13">
        <v>15744</v>
      </c>
      <c r="H8" s="13">
        <v>13257.647209999999</v>
      </c>
      <c r="I8" s="13">
        <v>16876.646899999996</v>
      </c>
      <c r="J8" s="13">
        <v>21826</v>
      </c>
      <c r="K8" s="13">
        <v>12002</v>
      </c>
      <c r="L8" s="13">
        <v>16622</v>
      </c>
      <c r="M8" s="13">
        <v>20912.694649999998</v>
      </c>
      <c r="N8" s="13">
        <v>26449</v>
      </c>
      <c r="O8" s="13">
        <v>13760</v>
      </c>
      <c r="P8" s="13">
        <v>18848</v>
      </c>
      <c r="Q8" s="13">
        <v>23304</v>
      </c>
      <c r="R8" s="31">
        <v>29082</v>
      </c>
      <c r="S8" s="31">
        <v>14335</v>
      </c>
      <c r="T8" s="31">
        <v>19803</v>
      </c>
      <c r="U8" s="31">
        <v>24336</v>
      </c>
      <c r="V8" s="32">
        <v>30383.75071</v>
      </c>
      <c r="W8" s="49">
        <f t="shared" si="0"/>
        <v>4.4761388831579652E-2</v>
      </c>
    </row>
    <row r="9" spans="2:23" ht="15.75" thickBot="1" x14ac:dyDescent="0.3">
      <c r="B9" s="44"/>
      <c r="D9" s="12" t="s">
        <v>23</v>
      </c>
      <c r="E9" s="13">
        <v>3733</v>
      </c>
      <c r="F9" s="13">
        <v>2922.9176800000005</v>
      </c>
      <c r="G9" s="13">
        <v>3036</v>
      </c>
      <c r="H9" s="13">
        <v>1455.98549</v>
      </c>
      <c r="I9" s="13">
        <v>1458.5712900000001</v>
      </c>
      <c r="J9" s="13">
        <v>1478</v>
      </c>
      <c r="K9" s="13">
        <v>1349</v>
      </c>
      <c r="L9" s="13">
        <v>1363</v>
      </c>
      <c r="M9" s="13">
        <v>1379.12904</v>
      </c>
      <c r="N9" s="13">
        <v>1397</v>
      </c>
      <c r="O9" s="13">
        <v>1061</v>
      </c>
      <c r="P9" s="13">
        <v>1068</v>
      </c>
      <c r="Q9" s="13">
        <v>1082</v>
      </c>
      <c r="R9" s="31">
        <v>1097</v>
      </c>
      <c r="S9" s="31">
        <v>741</v>
      </c>
      <c r="T9" s="31">
        <v>754</v>
      </c>
      <c r="U9" s="31">
        <v>767</v>
      </c>
      <c r="V9" s="32">
        <v>782.92190999999991</v>
      </c>
      <c r="W9" s="49">
        <f t="shared" si="0"/>
        <v>-0.28630637192342756</v>
      </c>
    </row>
    <row r="10" spans="2:23" ht="15.75" thickBot="1" x14ac:dyDescent="0.3">
      <c r="B10" s="44"/>
      <c r="D10" s="15" t="s">
        <v>1</v>
      </c>
      <c r="E10" s="122">
        <f t="shared" ref="E10:K10" si="1">SUM(E6:E9)</f>
        <v>853120</v>
      </c>
      <c r="F10" s="122">
        <f>SUM(F6:F9)</f>
        <v>671237.88711999997</v>
      </c>
      <c r="G10" s="122">
        <f t="shared" si="1"/>
        <v>891294.84699999995</v>
      </c>
      <c r="H10" s="122">
        <f>SUM(H6:H9)</f>
        <v>451910.17472000001</v>
      </c>
      <c r="I10" s="122">
        <f>SUM(I6:I9)</f>
        <v>675056.76401000004</v>
      </c>
      <c r="J10" s="122">
        <f t="shared" si="1"/>
        <v>898613.99400000006</v>
      </c>
      <c r="K10" s="122">
        <f t="shared" si="1"/>
        <v>224068</v>
      </c>
      <c r="L10" s="122">
        <f t="shared" ref="L10:V10" si="2">SUM(L6:L9)</f>
        <v>456465</v>
      </c>
      <c r="M10" s="122">
        <f t="shared" si="2"/>
        <v>682637.54914000002</v>
      </c>
      <c r="N10" s="122">
        <f t="shared" si="2"/>
        <v>907189</v>
      </c>
      <c r="O10" s="122">
        <f t="shared" si="2"/>
        <v>232005</v>
      </c>
      <c r="P10" s="122">
        <f t="shared" si="2"/>
        <v>474789</v>
      </c>
      <c r="Q10" s="122">
        <f t="shared" si="2"/>
        <v>710701</v>
      </c>
      <c r="R10" s="16">
        <f t="shared" si="2"/>
        <v>946679</v>
      </c>
      <c r="S10" s="16">
        <f t="shared" si="2"/>
        <v>244211</v>
      </c>
      <c r="T10" s="16">
        <f t="shared" si="2"/>
        <v>491948</v>
      </c>
      <c r="U10" s="16">
        <f t="shared" si="2"/>
        <v>731947</v>
      </c>
      <c r="V10" s="17">
        <f t="shared" si="2"/>
        <v>973281.04269000003</v>
      </c>
      <c r="W10" s="50">
        <f t="shared" si="0"/>
        <v>2.8100383223880643E-2</v>
      </c>
    </row>
    <row r="11" spans="2:23" x14ac:dyDescent="0.25">
      <c r="B11" s="44"/>
      <c r="D11" s="1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  <c r="U11" s="52"/>
      <c r="V11" s="52"/>
    </row>
    <row r="13" spans="2:23" x14ac:dyDescent="0.25">
      <c r="D13" s="45"/>
      <c r="E13" s="171" t="s">
        <v>35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</row>
    <row r="14" spans="2:23" ht="15.75" thickBot="1" x14ac:dyDescent="0.3">
      <c r="D14" s="6"/>
      <c r="E14" s="46" t="s">
        <v>6</v>
      </c>
      <c r="F14" s="46" t="s">
        <v>115</v>
      </c>
      <c r="G14" s="46" t="s">
        <v>3</v>
      </c>
      <c r="H14" s="46" t="s">
        <v>116</v>
      </c>
      <c r="I14" s="46" t="s">
        <v>117</v>
      </c>
      <c r="J14" s="46" t="s">
        <v>4</v>
      </c>
      <c r="K14" s="46" t="s">
        <v>118</v>
      </c>
      <c r="L14" s="46" t="s">
        <v>119</v>
      </c>
      <c r="M14" s="46" t="s">
        <v>120</v>
      </c>
      <c r="N14" s="46" t="s">
        <v>14</v>
      </c>
      <c r="O14" s="46" t="s">
        <v>121</v>
      </c>
      <c r="P14" s="46" t="s">
        <v>122</v>
      </c>
      <c r="Q14" s="46" t="s">
        <v>123</v>
      </c>
      <c r="R14" s="46" t="s">
        <v>16</v>
      </c>
      <c r="S14" s="46" t="s">
        <v>17</v>
      </c>
      <c r="T14" s="46" t="s">
        <v>88</v>
      </c>
      <c r="U14" s="46" t="s">
        <v>92</v>
      </c>
      <c r="V14" s="47" t="s">
        <v>95</v>
      </c>
      <c r="W14" s="53" t="s">
        <v>0</v>
      </c>
    </row>
    <row r="15" spans="2:23" x14ac:dyDescent="0.25">
      <c r="D15" s="12" t="s">
        <v>15</v>
      </c>
      <c r="E15" s="13">
        <v>114974</v>
      </c>
      <c r="F15" s="13">
        <v>77269.079859267789</v>
      </c>
      <c r="G15" s="13">
        <v>106533</v>
      </c>
      <c r="H15" s="13">
        <v>58351</v>
      </c>
      <c r="I15" s="13">
        <v>108794.48834439731</v>
      </c>
      <c r="J15" s="13">
        <v>146481</v>
      </c>
      <c r="K15" s="13">
        <v>31111</v>
      </c>
      <c r="L15" s="13">
        <v>60590</v>
      </c>
      <c r="M15" s="13">
        <v>85631.862512646418</v>
      </c>
      <c r="N15" s="13">
        <v>96993</v>
      </c>
      <c r="O15" s="13">
        <v>21431</v>
      </c>
      <c r="P15" s="13">
        <v>39705</v>
      </c>
      <c r="Q15" s="13">
        <v>45364</v>
      </c>
      <c r="R15" s="31">
        <v>34655</v>
      </c>
      <c r="S15" s="31">
        <v>-15052</v>
      </c>
      <c r="T15" s="31">
        <v>-37683</v>
      </c>
      <c r="U15" s="31">
        <v>-43319</v>
      </c>
      <c r="V15" s="32">
        <v>-43059.818598107522</v>
      </c>
      <c r="W15" s="49">
        <f>+V15/R15-1</f>
        <v>-2.2425283104344977</v>
      </c>
    </row>
    <row r="16" spans="2:23" x14ac:dyDescent="0.25">
      <c r="D16" s="12" t="s">
        <v>21</v>
      </c>
      <c r="E16" s="13">
        <v>8694</v>
      </c>
      <c r="F16" s="13">
        <v>8624.6461006365007</v>
      </c>
      <c r="G16" s="13">
        <v>12347</v>
      </c>
      <c r="H16" s="13">
        <v>6097</v>
      </c>
      <c r="I16" s="13">
        <v>5427.218407247964</v>
      </c>
      <c r="J16" s="13">
        <v>6684</v>
      </c>
      <c r="K16" s="13">
        <v>500</v>
      </c>
      <c r="L16" s="13">
        <v>5090</v>
      </c>
      <c r="M16" s="13">
        <v>8590.3283707111441</v>
      </c>
      <c r="N16" s="13">
        <v>13171</v>
      </c>
      <c r="O16" s="13">
        <v>2338</v>
      </c>
      <c r="P16" s="13">
        <v>6312</v>
      </c>
      <c r="Q16" s="13">
        <v>6339</v>
      </c>
      <c r="R16" s="31">
        <v>5729</v>
      </c>
      <c r="S16" s="31">
        <v>529</v>
      </c>
      <c r="T16" s="31">
        <v>2787</v>
      </c>
      <c r="U16" s="31">
        <v>2394</v>
      </c>
      <c r="V16" s="32">
        <v>2779.6802766728506</v>
      </c>
      <c r="W16" s="49">
        <f t="shared" ref="W16:W19" si="3">+V16/R16-1</f>
        <v>-0.51480532786300393</v>
      </c>
    </row>
    <row r="17" spans="4:23" x14ac:dyDescent="0.25">
      <c r="D17" s="12" t="s">
        <v>22</v>
      </c>
      <c r="E17" s="13">
        <v>-7042</v>
      </c>
      <c r="F17" s="13">
        <v>-6229.9020976889951</v>
      </c>
      <c r="G17" s="13">
        <v>-16346</v>
      </c>
      <c r="H17" s="13">
        <v>-2658</v>
      </c>
      <c r="I17" s="13">
        <v>-5037.0967525568076</v>
      </c>
      <c r="J17" s="13">
        <v>-7890</v>
      </c>
      <c r="K17" s="13">
        <v>-161</v>
      </c>
      <c r="L17" s="13">
        <v>-3006</v>
      </c>
      <c r="M17" s="13">
        <v>-5209.2778021447957</v>
      </c>
      <c r="N17" s="13">
        <v>-7210</v>
      </c>
      <c r="O17" s="13">
        <v>75</v>
      </c>
      <c r="P17" s="13">
        <v>-2371</v>
      </c>
      <c r="Q17" s="13">
        <v>-4704</v>
      </c>
      <c r="R17" s="31">
        <v>-7386</v>
      </c>
      <c r="S17" s="31">
        <v>-2386</v>
      </c>
      <c r="T17" s="31">
        <v>-4659</v>
      </c>
      <c r="U17" s="31">
        <v>-7113</v>
      </c>
      <c r="V17" s="32">
        <v>-10989.778708797794</v>
      </c>
      <c r="W17" s="49">
        <f t="shared" si="3"/>
        <v>0.48792021510936823</v>
      </c>
    </row>
    <row r="18" spans="4:23" ht="15.75" thickBot="1" x14ac:dyDescent="0.3">
      <c r="D18" s="12" t="s">
        <v>23</v>
      </c>
      <c r="E18" s="13">
        <v>1186</v>
      </c>
      <c r="F18" s="13">
        <v>1003.9744355210007</v>
      </c>
      <c r="G18" s="13">
        <v>1116</v>
      </c>
      <c r="H18" s="13">
        <v>248</v>
      </c>
      <c r="I18" s="13">
        <v>379.24984877120119</v>
      </c>
      <c r="J18" s="13">
        <v>664</v>
      </c>
      <c r="K18" s="13">
        <v>94</v>
      </c>
      <c r="L18" s="13">
        <v>465</v>
      </c>
      <c r="M18" s="13">
        <v>596.55913451119875</v>
      </c>
      <c r="N18" s="13">
        <v>681</v>
      </c>
      <c r="O18" s="13">
        <v>264</v>
      </c>
      <c r="P18" s="13">
        <v>405</v>
      </c>
      <c r="Q18" s="13">
        <v>448</v>
      </c>
      <c r="R18" s="31">
        <v>352</v>
      </c>
      <c r="S18" s="31">
        <v>103</v>
      </c>
      <c r="T18" s="31">
        <v>175</v>
      </c>
      <c r="U18" s="31">
        <v>231</v>
      </c>
      <c r="V18" s="32">
        <v>238.19409950539995</v>
      </c>
      <c r="W18" s="49">
        <f t="shared" si="3"/>
        <v>-0.32331221731420468</v>
      </c>
    </row>
    <row r="19" spans="4:23" ht="15.75" thickBot="1" x14ac:dyDescent="0.3">
      <c r="D19" s="15" t="s">
        <v>1</v>
      </c>
      <c r="E19" s="122">
        <f t="shared" ref="E19:K19" si="4">SUM(E15:E18)</f>
        <v>117812</v>
      </c>
      <c r="F19" s="122">
        <f>SUM(F15:F18)</f>
        <v>80667.798297736299</v>
      </c>
      <c r="G19" s="122">
        <f t="shared" si="4"/>
        <v>103650</v>
      </c>
      <c r="H19" s="122">
        <f>SUM(H15:H18)</f>
        <v>62038</v>
      </c>
      <c r="I19" s="122">
        <f>SUM(I15:I18)</f>
        <v>109563.85984785965</v>
      </c>
      <c r="J19" s="122">
        <f t="shared" si="4"/>
        <v>145939</v>
      </c>
      <c r="K19" s="122">
        <f t="shared" si="4"/>
        <v>31544</v>
      </c>
      <c r="L19" s="122">
        <f t="shared" ref="L19:V19" si="5">SUM(L15:L18)</f>
        <v>63139</v>
      </c>
      <c r="M19" s="122">
        <f t="shared" si="5"/>
        <v>89609.472215723959</v>
      </c>
      <c r="N19" s="122">
        <f t="shared" si="5"/>
        <v>103635</v>
      </c>
      <c r="O19" s="122">
        <f t="shared" si="5"/>
        <v>24108</v>
      </c>
      <c r="P19" s="16">
        <f t="shared" si="5"/>
        <v>44051</v>
      </c>
      <c r="Q19" s="122">
        <f t="shared" si="5"/>
        <v>47447</v>
      </c>
      <c r="R19" s="16">
        <f t="shared" si="5"/>
        <v>33350</v>
      </c>
      <c r="S19" s="16">
        <f t="shared" si="5"/>
        <v>-16806</v>
      </c>
      <c r="T19" s="16">
        <f t="shared" si="5"/>
        <v>-39380</v>
      </c>
      <c r="U19" s="16">
        <f t="shared" si="5"/>
        <v>-47807</v>
      </c>
      <c r="V19" s="17">
        <f t="shared" si="5"/>
        <v>-51031.722930727061</v>
      </c>
      <c r="W19" s="50">
        <f t="shared" si="3"/>
        <v>-2.5301865946244995</v>
      </c>
    </row>
    <row r="22" spans="4:23" x14ac:dyDescent="0.25">
      <c r="D22" s="45"/>
      <c r="E22" s="171" t="s">
        <v>36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</row>
    <row r="23" spans="4:23" ht="15.75" thickBot="1" x14ac:dyDescent="0.3">
      <c r="D23" s="6"/>
      <c r="E23" s="46" t="s">
        <v>6</v>
      </c>
      <c r="F23" s="46" t="s">
        <v>115</v>
      </c>
      <c r="G23" s="46" t="s">
        <v>3</v>
      </c>
      <c r="H23" s="46" t="s">
        <v>116</v>
      </c>
      <c r="I23" s="46" t="s">
        <v>117</v>
      </c>
      <c r="J23" s="46" t="s">
        <v>4</v>
      </c>
      <c r="K23" s="46" t="s">
        <v>118</v>
      </c>
      <c r="L23" s="46" t="s">
        <v>119</v>
      </c>
      <c r="M23" s="46" t="s">
        <v>120</v>
      </c>
      <c r="N23" s="46" t="s">
        <v>14</v>
      </c>
      <c r="O23" s="46" t="s">
        <v>121</v>
      </c>
      <c r="P23" s="46" t="s">
        <v>122</v>
      </c>
      <c r="Q23" s="46" t="s">
        <v>123</v>
      </c>
      <c r="R23" s="46" t="s">
        <v>16</v>
      </c>
      <c r="S23" s="46" t="s">
        <v>17</v>
      </c>
      <c r="T23" s="46" t="s">
        <v>88</v>
      </c>
      <c r="U23" s="46" t="s">
        <v>92</v>
      </c>
      <c r="V23" s="47" t="s">
        <v>95</v>
      </c>
      <c r="W23" s="54" t="s">
        <v>13</v>
      </c>
    </row>
    <row r="24" spans="4:23" x14ac:dyDescent="0.25">
      <c r="D24" s="12" t="s">
        <v>15</v>
      </c>
      <c r="E24" s="55">
        <v>0.83998519180371911</v>
      </c>
      <c r="F24" s="55">
        <v>0.86158632267781621</v>
      </c>
      <c r="G24" s="55">
        <v>0.85763501441249534</v>
      </c>
      <c r="H24" s="55">
        <v>0.84404485621970904</v>
      </c>
      <c r="I24" s="55">
        <v>0.80661844089481582</v>
      </c>
      <c r="J24" s="55">
        <v>0.80536802173783062</v>
      </c>
      <c r="K24" s="55">
        <v>0.83116221798944634</v>
      </c>
      <c r="L24" s="55">
        <v>0.83659919203033395</v>
      </c>
      <c r="M24" s="55">
        <v>0.84690835828096978</v>
      </c>
      <c r="N24" s="55">
        <v>0.87021020482720701</v>
      </c>
      <c r="O24" s="55">
        <v>0.88320280779774274</v>
      </c>
      <c r="P24" s="55">
        <v>0.89279668224564013</v>
      </c>
      <c r="Q24" s="55">
        <v>0.91914849628750372</v>
      </c>
      <c r="R24" s="55">
        <v>0.95399440843884997</v>
      </c>
      <c r="S24" s="55">
        <v>1.0792177171487516</v>
      </c>
      <c r="T24" s="55">
        <v>1.098209282748807</v>
      </c>
      <c r="U24" s="55">
        <v>1.074650863019742</v>
      </c>
      <c r="V24" s="56">
        <v>1.0553623190785402</v>
      </c>
      <c r="W24" s="25">
        <f>(V24-R24)*100</f>
        <v>10.136791063969019</v>
      </c>
    </row>
    <row r="25" spans="4:23" x14ac:dyDescent="0.25">
      <c r="D25" s="12" t="s">
        <v>21</v>
      </c>
      <c r="E25" s="55">
        <v>0.90591520031166817</v>
      </c>
      <c r="F25" s="55">
        <v>0.88654844417606182</v>
      </c>
      <c r="G25" s="55">
        <v>0.87972920319501269</v>
      </c>
      <c r="H25" s="55">
        <v>0.88768668779024995</v>
      </c>
      <c r="I25" s="55">
        <v>0.93426737590583953</v>
      </c>
      <c r="J25" s="55">
        <v>0.94007853262331231</v>
      </c>
      <c r="K25" s="55">
        <v>0.98259656541624618</v>
      </c>
      <c r="L25" s="55">
        <v>0.91249183371729181</v>
      </c>
      <c r="M25" s="55">
        <v>0.90270149047864323</v>
      </c>
      <c r="N25" s="55">
        <v>0.88937857458516889</v>
      </c>
      <c r="O25" s="55">
        <v>0.92431697526867795</v>
      </c>
      <c r="P25" s="55">
        <v>0.89984290950635504</v>
      </c>
      <c r="Q25" s="55">
        <v>0.93413478522890214</v>
      </c>
      <c r="R25" s="55">
        <v>0.95586252590543841</v>
      </c>
      <c r="S25" s="55">
        <v>0.98463683094705656</v>
      </c>
      <c r="T25" s="55">
        <v>0.96009507309460063</v>
      </c>
      <c r="U25" s="55">
        <v>0.97736298649721998</v>
      </c>
      <c r="V25" s="56">
        <v>0.98041877476730577</v>
      </c>
      <c r="W25" s="25">
        <f t="shared" ref="W25:W28" si="6">(V25-R25)*100</f>
        <v>2.4556248861867358</v>
      </c>
    </row>
    <row r="26" spans="4:23" x14ac:dyDescent="0.25">
      <c r="D26" s="12" t="s">
        <v>22</v>
      </c>
      <c r="E26" s="55">
        <v>4.2799254774103401</v>
      </c>
      <c r="F26" s="55">
        <v>2.3088475175085561</v>
      </c>
      <c r="G26" s="55">
        <v>22.852941176470587</v>
      </c>
      <c r="H26" s="55">
        <v>1.5441852187619376</v>
      </c>
      <c r="I26" s="55">
        <v>1.6647337419040928</v>
      </c>
      <c r="J26" s="55">
        <v>1.656405990016639</v>
      </c>
      <c r="K26" s="55">
        <v>1.0528599565326944</v>
      </c>
      <c r="L26" s="55">
        <v>1.4739829706717125</v>
      </c>
      <c r="M26" s="55">
        <v>1.5282904972535181</v>
      </c>
      <c r="N26" s="55">
        <v>1.4811908131874167</v>
      </c>
      <c r="O26" s="55">
        <v>0.98002131060202446</v>
      </c>
      <c r="P26" s="55">
        <v>1.3115637319316689</v>
      </c>
      <c r="Q26" s="55">
        <v>1.40635798203179</v>
      </c>
      <c r="R26" s="55">
        <v>1.4475007573462586</v>
      </c>
      <c r="S26" s="55">
        <v>1.5962018990504747</v>
      </c>
      <c r="T26" s="55">
        <v>1.5778963036467377</v>
      </c>
      <c r="U26" s="55">
        <v>1.5828416912487708</v>
      </c>
      <c r="V26" s="56">
        <v>1.6823822578171637</v>
      </c>
      <c r="W26" s="25">
        <f t="shared" si="6"/>
        <v>23.488150047090507</v>
      </c>
    </row>
    <row r="27" spans="4:23" ht="15.75" thickBot="1" x14ac:dyDescent="0.3">
      <c r="D27" s="12" t="s">
        <v>23</v>
      </c>
      <c r="E27" s="55">
        <v>0.63110419906687398</v>
      </c>
      <c r="F27" s="55">
        <v>0.56801466267811263</v>
      </c>
      <c r="G27" s="55">
        <v>0.63316912972085382</v>
      </c>
      <c r="H27" s="55">
        <v>0.76975401576572056</v>
      </c>
      <c r="I27" s="55">
        <v>0.7462364568024481</v>
      </c>
      <c r="J27" s="55">
        <v>0.66899302093718838</v>
      </c>
      <c r="K27" s="55">
        <v>0.71274124047723175</v>
      </c>
      <c r="L27" s="55">
        <v>0.31556677519061266</v>
      </c>
      <c r="M27" s="55">
        <v>0.42239009208261347</v>
      </c>
      <c r="N27" s="55">
        <v>0.50931268712671374</v>
      </c>
      <c r="O27" s="55">
        <v>0.45114345114345117</v>
      </c>
      <c r="P27" s="55">
        <v>0.45047489823609227</v>
      </c>
      <c r="Q27" s="55">
        <v>0.50277469478357384</v>
      </c>
      <c r="R27" s="55">
        <v>0.66948356807511733</v>
      </c>
      <c r="S27" s="55">
        <v>0.55982905982905984</v>
      </c>
      <c r="T27" s="55">
        <v>0.57530000000000003</v>
      </c>
      <c r="U27" s="55">
        <v>0.60980000000000001</v>
      </c>
      <c r="V27" s="56">
        <v>0.69196848381218068</v>
      </c>
      <c r="W27" s="25">
        <f t="shared" si="6"/>
        <v>2.2484915737063349</v>
      </c>
    </row>
    <row r="28" spans="4:23" ht="15.75" thickBot="1" x14ac:dyDescent="0.3">
      <c r="D28" s="15" t="s">
        <v>1</v>
      </c>
      <c r="E28" s="57">
        <v>0.85567366459672978</v>
      </c>
      <c r="F28" s="57">
        <v>0.8742222474383905</v>
      </c>
      <c r="G28" s="57">
        <v>0.87873817507095542</v>
      </c>
      <c r="H28" s="57">
        <v>0.85718813439399422</v>
      </c>
      <c r="I28" s="57">
        <v>0.83252928017538141</v>
      </c>
      <c r="J28" s="57">
        <v>0.833815961930226</v>
      </c>
      <c r="K28" s="57">
        <v>0.85421891600437738</v>
      </c>
      <c r="L28" s="57">
        <v>0.85518345478023727</v>
      </c>
      <c r="M28" s="57">
        <v>0.8639254442274602</v>
      </c>
      <c r="N28" s="57">
        <v>0.88259779338749644</v>
      </c>
      <c r="O28" s="57">
        <v>0.88972444834778797</v>
      </c>
      <c r="P28" s="57">
        <v>0.90027821858608814</v>
      </c>
      <c r="Q28" s="57">
        <v>0.92916211926897252</v>
      </c>
      <c r="R28" s="57">
        <v>0.96297106413500522</v>
      </c>
      <c r="S28" s="57">
        <v>1.0734923057412857</v>
      </c>
      <c r="T28" s="57">
        <v>1.0852351433716581</v>
      </c>
      <c r="U28" s="57">
        <v>1.0684090779005209</v>
      </c>
      <c r="V28" s="58">
        <v>1.0544851695810065</v>
      </c>
      <c r="W28" s="59">
        <f t="shared" si="6"/>
        <v>9.1514105446001253</v>
      </c>
    </row>
    <row r="29" spans="4:23" x14ac:dyDescent="0.25"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2"/>
      <c r="U29" s="52"/>
      <c r="V29" s="52"/>
    </row>
    <row r="30" spans="4:23" x14ac:dyDescent="0.25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2"/>
      <c r="U30" s="22"/>
      <c r="V30" s="22"/>
      <c r="W30" s="22" t="s">
        <v>30</v>
      </c>
    </row>
  </sheetData>
  <mergeCells count="3">
    <mergeCell ref="E4:W4"/>
    <mergeCell ref="E13:W13"/>
    <mergeCell ref="E22:W22"/>
  </mergeCells>
  <hyperlinks>
    <hyperlink ref="B2" location="'Suplemento Financiero&gt;&gt;&gt;'!A1" display="ÍNDICE" xr:uid="{354176FD-EA4F-4076-A174-4BB7003088AE}"/>
  </hyperlinks>
  <pageMargins left="0.7" right="0.7" top="0.75" bottom="0.75" header="0.3" footer="0.3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L20"/>
  <sheetViews>
    <sheetView showGridLines="0" zoomScaleNormal="100" workbookViewId="0">
      <selection activeCell="B2" sqref="B2"/>
    </sheetView>
  </sheetViews>
  <sheetFormatPr baseColWidth="10" defaultColWidth="10.8554687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45.7109375" style="1" customWidth="1"/>
    <col min="5" max="5" width="11" style="1" customWidth="1"/>
    <col min="6" max="6" width="11" style="1" hidden="1" customWidth="1" outlineLevel="1"/>
    <col min="7" max="7" width="11" style="1" customWidth="1" collapsed="1"/>
    <col min="8" max="9" width="11" style="1" hidden="1" customWidth="1" outlineLevel="1"/>
    <col min="10" max="10" width="11" style="1" customWidth="1" collapsed="1"/>
    <col min="11" max="13" width="11" style="1" hidden="1" customWidth="1" outlineLevel="1"/>
    <col min="14" max="14" width="11" style="1" customWidth="1" collapsed="1"/>
    <col min="15" max="15" width="11" style="1" hidden="1" customWidth="1" outlineLevel="1"/>
    <col min="16" max="16" width="11" style="1" hidden="1" customWidth="1" outlineLevel="1" collapsed="1"/>
    <col min="17" max="17" width="11" style="1" hidden="1" customWidth="1" outlineLevel="1"/>
    <col min="18" max="18" width="11" style="1" customWidth="1" collapsed="1"/>
    <col min="19" max="21" width="11" style="1" hidden="1" customWidth="1" outlineLevel="1"/>
    <col min="22" max="22" width="11" style="1" customWidth="1" collapsed="1"/>
    <col min="23" max="23" width="11" style="1" customWidth="1"/>
    <col min="24" max="24" width="3" style="2" customWidth="1"/>
    <col min="25" max="16384" width="10.85546875" style="1"/>
  </cols>
  <sheetData>
    <row r="1" spans="2:38" ht="16.5" customHeight="1" x14ac:dyDescent="0.25"/>
    <row r="2" spans="2:38" ht="18.75" customHeight="1" thickBot="1" x14ac:dyDescent="0.3">
      <c r="B2" s="3" t="s">
        <v>27</v>
      </c>
      <c r="D2" s="4" t="s">
        <v>145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Y2" s="4" t="s">
        <v>34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4" spans="2:38" s="5" customFormat="1" ht="15.75" thickBot="1" x14ac:dyDescent="0.3">
      <c r="D4" s="6"/>
      <c r="E4" s="7" t="s">
        <v>6</v>
      </c>
      <c r="F4" s="7" t="s">
        <v>115</v>
      </c>
      <c r="G4" s="7" t="s">
        <v>3</v>
      </c>
      <c r="H4" s="7" t="s">
        <v>116</v>
      </c>
      <c r="I4" s="7" t="s">
        <v>117</v>
      </c>
      <c r="J4" s="7" t="s">
        <v>4</v>
      </c>
      <c r="K4" s="7" t="s">
        <v>118</v>
      </c>
      <c r="L4" s="7" t="s">
        <v>119</v>
      </c>
      <c r="M4" s="7" t="s">
        <v>120</v>
      </c>
      <c r="N4" s="7" t="s">
        <v>14</v>
      </c>
      <c r="O4" s="7" t="s">
        <v>121</v>
      </c>
      <c r="P4" s="7" t="s">
        <v>122</v>
      </c>
      <c r="Q4" s="7" t="s">
        <v>123</v>
      </c>
      <c r="R4" s="7" t="s">
        <v>16</v>
      </c>
      <c r="S4" s="7" t="s">
        <v>17</v>
      </c>
      <c r="T4" s="7" t="s">
        <v>88</v>
      </c>
      <c r="U4" s="7" t="s">
        <v>92</v>
      </c>
      <c r="V4" s="8" t="s">
        <v>95</v>
      </c>
      <c r="W4" s="9" t="s">
        <v>0</v>
      </c>
      <c r="X4" s="2"/>
      <c r="Y4" s="7" t="s">
        <v>124</v>
      </c>
      <c r="Z4" s="7" t="s">
        <v>125</v>
      </c>
      <c r="AA4" s="7" t="s">
        <v>126</v>
      </c>
      <c r="AB4" s="7" t="s">
        <v>127</v>
      </c>
      <c r="AC4" s="7" t="s">
        <v>128</v>
      </c>
      <c r="AD4" s="7" t="s">
        <v>129</v>
      </c>
      <c r="AE4" s="7" t="s">
        <v>130</v>
      </c>
      <c r="AF4" s="7" t="s">
        <v>131</v>
      </c>
      <c r="AG4" s="7" t="s">
        <v>132</v>
      </c>
      <c r="AH4" s="7" t="s">
        <v>133</v>
      </c>
      <c r="AI4" s="7" t="s">
        <v>41</v>
      </c>
      <c r="AJ4" s="7" t="s">
        <v>89</v>
      </c>
      <c r="AK4" s="7" t="s">
        <v>93</v>
      </c>
      <c r="AL4" s="8" t="s">
        <v>94</v>
      </c>
    </row>
    <row r="5" spans="2:38" s="5" customFormat="1" x14ac:dyDescent="0.25">
      <c r="D5" s="10" t="s">
        <v>96</v>
      </c>
      <c r="E5" s="29">
        <v>741178.03300000005</v>
      </c>
      <c r="F5" s="29">
        <v>573625.1777</v>
      </c>
      <c r="G5" s="29">
        <v>761158.29799999995</v>
      </c>
      <c r="H5" s="29">
        <v>377490.58505000005</v>
      </c>
      <c r="I5" s="29">
        <v>567177.75003999996</v>
      </c>
      <c r="J5" s="29">
        <v>754656.36600000004</v>
      </c>
      <c r="K5" s="29">
        <v>178953</v>
      </c>
      <c r="L5" s="29">
        <v>373701</v>
      </c>
      <c r="M5" s="29">
        <v>563300.91514000006</v>
      </c>
      <c r="N5" s="29">
        <v>748100</v>
      </c>
      <c r="O5" s="29">
        <v>181928</v>
      </c>
      <c r="P5" s="29">
        <v>383206</v>
      </c>
      <c r="Q5" s="29">
        <v>579419</v>
      </c>
      <c r="R5" s="29">
        <v>772787</v>
      </c>
      <c r="S5" s="29">
        <v>191528</v>
      </c>
      <c r="T5" s="29">
        <v>396108</v>
      </c>
      <c r="U5" s="29">
        <v>595240</v>
      </c>
      <c r="V5" s="30">
        <v>792683.99068999989</v>
      </c>
      <c r="W5" s="11">
        <f>+V5/R5-1</f>
        <v>2.5747056679265912E-2</v>
      </c>
      <c r="X5" s="2"/>
      <c r="Y5" s="29">
        <f>I5-H5</f>
        <v>189687.1649899999</v>
      </c>
      <c r="Z5" s="29">
        <f>J5-I5</f>
        <v>187478.61596000008</v>
      </c>
      <c r="AA5" s="29">
        <f t="shared" ref="AA5:AA8" si="0">K5</f>
        <v>178953</v>
      </c>
      <c r="AB5" s="29">
        <f t="shared" ref="AB5:AD9" si="1">L5-K5</f>
        <v>194748</v>
      </c>
      <c r="AC5" s="29">
        <f t="shared" si="1"/>
        <v>189599.91514000006</v>
      </c>
      <c r="AD5" s="29">
        <f t="shared" si="1"/>
        <v>184799.08485999994</v>
      </c>
      <c r="AE5" s="29">
        <f t="shared" ref="AE5:AE8" si="2">O5</f>
        <v>181928</v>
      </c>
      <c r="AF5" s="29">
        <f>P5-O5</f>
        <v>201278</v>
      </c>
      <c r="AG5" s="29">
        <f>Q5-P5</f>
        <v>196213</v>
      </c>
      <c r="AH5" s="29">
        <f>R5-Q5</f>
        <v>193368</v>
      </c>
      <c r="AI5" s="29">
        <f>S5</f>
        <v>191528</v>
      </c>
      <c r="AJ5" s="29">
        <f t="shared" ref="AJ5:AL9" si="3">T5-S5</f>
        <v>204580</v>
      </c>
      <c r="AK5" s="29">
        <f t="shared" si="3"/>
        <v>199132</v>
      </c>
      <c r="AL5" s="30">
        <f t="shared" si="3"/>
        <v>197443.99068999989</v>
      </c>
    </row>
    <row r="6" spans="2:38" s="5" customFormat="1" x14ac:dyDescent="0.25">
      <c r="D6" s="10" t="s">
        <v>134</v>
      </c>
      <c r="E6" s="29">
        <v>718521</v>
      </c>
      <c r="F6" s="133">
        <v>558247.43156999955</v>
      </c>
      <c r="G6" s="29">
        <v>748309</v>
      </c>
      <c r="H6" s="29">
        <v>374155</v>
      </c>
      <c r="I6" s="29">
        <v>562589.77768000006</v>
      </c>
      <c r="J6" s="29">
        <v>752605</v>
      </c>
      <c r="K6" s="29">
        <v>184280</v>
      </c>
      <c r="L6" s="29">
        <v>370806</v>
      </c>
      <c r="M6" s="29">
        <v>559350.34435000038</v>
      </c>
      <c r="N6" s="29">
        <v>747292</v>
      </c>
      <c r="O6" s="29">
        <v>183489</v>
      </c>
      <c r="P6" s="29">
        <v>370371</v>
      </c>
      <c r="Q6" s="29">
        <v>561078</v>
      </c>
      <c r="R6" s="29">
        <v>753278</v>
      </c>
      <c r="S6" s="29">
        <v>190008</v>
      </c>
      <c r="T6" s="29">
        <v>383701</v>
      </c>
      <c r="U6" s="29">
        <v>580288</v>
      </c>
      <c r="V6" s="30">
        <v>777782.06033999997</v>
      </c>
      <c r="W6" s="11">
        <f t="shared" ref="W6:W10" si="4">+V6/R6-1</f>
        <v>3.2529903090226853E-2</v>
      </c>
      <c r="X6" s="2"/>
      <c r="Y6" s="29">
        <f>I6-H6</f>
        <v>188434.77768000006</v>
      </c>
      <c r="Z6" s="29">
        <f t="shared" ref="Z6:Z9" si="5">J6-I6</f>
        <v>190015.22231999994</v>
      </c>
      <c r="AA6" s="29">
        <f t="shared" si="0"/>
        <v>184280</v>
      </c>
      <c r="AB6" s="29">
        <f t="shared" si="1"/>
        <v>186526</v>
      </c>
      <c r="AC6" s="29">
        <f t="shared" si="1"/>
        <v>188544.34435000038</v>
      </c>
      <c r="AD6" s="29">
        <f t="shared" si="1"/>
        <v>187941.65564999962</v>
      </c>
      <c r="AE6" s="29">
        <f t="shared" si="2"/>
        <v>183489</v>
      </c>
      <c r="AF6" s="29">
        <f t="shared" ref="AF6:AG9" si="6">P6-O6</f>
        <v>186882</v>
      </c>
      <c r="AG6" s="29">
        <f t="shared" si="6"/>
        <v>190707</v>
      </c>
      <c r="AH6" s="29">
        <f t="shared" ref="AH6:AH9" si="7">R6-Q6</f>
        <v>192200</v>
      </c>
      <c r="AI6" s="29">
        <f t="shared" ref="AI6:AI9" si="8">S6</f>
        <v>190008</v>
      </c>
      <c r="AJ6" s="29">
        <f t="shared" si="3"/>
        <v>193693</v>
      </c>
      <c r="AK6" s="29">
        <f t="shared" si="3"/>
        <v>196587</v>
      </c>
      <c r="AL6" s="30">
        <f t="shared" si="3"/>
        <v>197494.06033999997</v>
      </c>
    </row>
    <row r="7" spans="2:38" s="5" customFormat="1" x14ac:dyDescent="0.25">
      <c r="D7" s="12" t="s">
        <v>37</v>
      </c>
      <c r="E7" s="31">
        <v>-476725</v>
      </c>
      <c r="F7" s="31">
        <v>-389426.50000539894</v>
      </c>
      <c r="G7" s="31">
        <v>-519666.00000000006</v>
      </c>
      <c r="H7" s="31">
        <v>-245650</v>
      </c>
      <c r="I7" s="31">
        <v>-349852.0986038135</v>
      </c>
      <c r="J7" s="31">
        <v>-465382</v>
      </c>
      <c r="K7" s="31">
        <v>-120874</v>
      </c>
      <c r="L7" s="31">
        <v>-244740</v>
      </c>
      <c r="M7" s="31">
        <v>-374662.88629253145</v>
      </c>
      <c r="N7" s="31">
        <v>-518866</v>
      </c>
      <c r="O7" s="31">
        <v>-128817</v>
      </c>
      <c r="P7" s="31">
        <v>-266484</v>
      </c>
      <c r="Q7" s="31">
        <v>-418306</v>
      </c>
      <c r="R7" s="31">
        <v>-585329</v>
      </c>
      <c r="S7" s="31">
        <v>-168784</v>
      </c>
      <c r="T7" s="31">
        <v>-356828</v>
      </c>
      <c r="U7" s="31">
        <v>-527284</v>
      </c>
      <c r="V7" s="32">
        <v>-689086.51899032702</v>
      </c>
      <c r="W7" s="14">
        <f t="shared" si="4"/>
        <v>0.17726358849523427</v>
      </c>
      <c r="X7" s="2"/>
      <c r="Y7" s="31">
        <f>I7-H7</f>
        <v>-104202.0986038135</v>
      </c>
      <c r="Z7" s="31">
        <f t="shared" si="5"/>
        <v>-115529.9013961865</v>
      </c>
      <c r="AA7" s="31">
        <f t="shared" si="0"/>
        <v>-120874</v>
      </c>
      <c r="AB7" s="31">
        <f t="shared" si="1"/>
        <v>-123866</v>
      </c>
      <c r="AC7" s="31">
        <f t="shared" si="1"/>
        <v>-129922.88629253145</v>
      </c>
      <c r="AD7" s="31">
        <f t="shared" si="1"/>
        <v>-144203.11370746855</v>
      </c>
      <c r="AE7" s="31">
        <f t="shared" si="2"/>
        <v>-128817</v>
      </c>
      <c r="AF7" s="31">
        <f t="shared" si="6"/>
        <v>-137667</v>
      </c>
      <c r="AG7" s="31">
        <f t="shared" si="6"/>
        <v>-151822</v>
      </c>
      <c r="AH7" s="31">
        <f t="shared" si="7"/>
        <v>-167023</v>
      </c>
      <c r="AI7" s="31">
        <f t="shared" si="8"/>
        <v>-168784</v>
      </c>
      <c r="AJ7" s="31">
        <f t="shared" si="3"/>
        <v>-188044</v>
      </c>
      <c r="AK7" s="31">
        <f t="shared" si="3"/>
        <v>-170456</v>
      </c>
      <c r="AL7" s="32">
        <f t="shared" si="3"/>
        <v>-161802.51899032702</v>
      </c>
    </row>
    <row r="8" spans="2:38" s="5" customFormat="1" x14ac:dyDescent="0.25">
      <c r="D8" s="12" t="s">
        <v>38</v>
      </c>
      <c r="E8" s="31">
        <v>-154001</v>
      </c>
      <c r="F8" s="31">
        <v>-115432.9615953328</v>
      </c>
      <c r="G8" s="31">
        <v>-152748</v>
      </c>
      <c r="H8" s="31">
        <v>-79437</v>
      </c>
      <c r="I8" s="31">
        <v>-118909.1742417893</v>
      </c>
      <c r="J8" s="31">
        <v>-159468</v>
      </c>
      <c r="K8" s="31">
        <v>-36685</v>
      </c>
      <c r="L8" s="31">
        <v>-75358</v>
      </c>
      <c r="M8" s="31">
        <v>-114751.67075482252</v>
      </c>
      <c r="N8" s="31">
        <v>-154310</v>
      </c>
      <c r="O8" s="31">
        <v>-35791</v>
      </c>
      <c r="P8" s="31">
        <v>-71468</v>
      </c>
      <c r="Q8" s="31">
        <v>-110044</v>
      </c>
      <c r="R8" s="31">
        <v>-150800</v>
      </c>
      <c r="S8" s="31">
        <v>-38667</v>
      </c>
      <c r="T8" s="31">
        <v>-73729</v>
      </c>
      <c r="U8" s="31">
        <v>-112198</v>
      </c>
      <c r="V8" s="32">
        <v>-153852.82306778053</v>
      </c>
      <c r="W8" s="14">
        <f t="shared" si="4"/>
        <v>2.0244184799605547E-2</v>
      </c>
      <c r="X8" s="2"/>
      <c r="Y8" s="31">
        <f>I8-H8</f>
        <v>-39472.174241789297</v>
      </c>
      <c r="Z8" s="31">
        <f t="shared" si="5"/>
        <v>-40558.825758210703</v>
      </c>
      <c r="AA8" s="31">
        <f t="shared" si="0"/>
        <v>-36685</v>
      </c>
      <c r="AB8" s="31">
        <f t="shared" si="1"/>
        <v>-38673</v>
      </c>
      <c r="AC8" s="31">
        <f t="shared" si="1"/>
        <v>-39393.670754822524</v>
      </c>
      <c r="AD8" s="31">
        <f t="shared" si="1"/>
        <v>-39558.329245177476</v>
      </c>
      <c r="AE8" s="31">
        <f t="shared" si="2"/>
        <v>-35791</v>
      </c>
      <c r="AF8" s="31">
        <f t="shared" si="6"/>
        <v>-35677</v>
      </c>
      <c r="AG8" s="31">
        <f t="shared" si="6"/>
        <v>-38576</v>
      </c>
      <c r="AH8" s="31">
        <f t="shared" si="7"/>
        <v>-40756</v>
      </c>
      <c r="AI8" s="31">
        <f t="shared" si="8"/>
        <v>-38667</v>
      </c>
      <c r="AJ8" s="31">
        <f t="shared" si="3"/>
        <v>-35062</v>
      </c>
      <c r="AK8" s="31">
        <f t="shared" si="3"/>
        <v>-38469</v>
      </c>
      <c r="AL8" s="32">
        <f t="shared" si="3"/>
        <v>-41654.823067780526</v>
      </c>
    </row>
    <row r="9" spans="2:38" s="5" customFormat="1" ht="15.75" thickBot="1" x14ac:dyDescent="0.3">
      <c r="D9" s="12" t="s">
        <v>135</v>
      </c>
      <c r="E9" s="31">
        <v>27179</v>
      </c>
      <c r="F9" s="31">
        <v>23881.10989</v>
      </c>
      <c r="G9" s="31">
        <v>30638</v>
      </c>
      <c r="H9" s="31">
        <v>9281</v>
      </c>
      <c r="I9" s="31">
        <v>14965.983510000002</v>
      </c>
      <c r="J9" s="31">
        <v>18726</v>
      </c>
      <c r="K9" s="31">
        <v>4390</v>
      </c>
      <c r="L9" s="31">
        <v>9882</v>
      </c>
      <c r="M9" s="31">
        <v>15696.075209999997</v>
      </c>
      <c r="N9" s="31">
        <v>22877</v>
      </c>
      <c r="O9" s="31">
        <v>2550</v>
      </c>
      <c r="P9" s="31">
        <v>7286</v>
      </c>
      <c r="Q9" s="31">
        <v>12636</v>
      </c>
      <c r="R9" s="31">
        <v>17506</v>
      </c>
      <c r="S9" s="31">
        <v>2391</v>
      </c>
      <c r="T9" s="31">
        <v>9173</v>
      </c>
      <c r="U9" s="31">
        <v>15875</v>
      </c>
      <c r="V9" s="32">
        <v>22097.463119999997</v>
      </c>
      <c r="W9" s="14">
        <f t="shared" si="4"/>
        <v>0.2622793967782473</v>
      </c>
      <c r="X9" s="2"/>
      <c r="Y9" s="31">
        <f>I9-H9</f>
        <v>5684.9835100000018</v>
      </c>
      <c r="Z9" s="31">
        <f t="shared" si="5"/>
        <v>3760.0164899999982</v>
      </c>
      <c r="AA9" s="31">
        <f>K9</f>
        <v>4390</v>
      </c>
      <c r="AB9" s="31">
        <f t="shared" si="1"/>
        <v>5492</v>
      </c>
      <c r="AC9" s="31">
        <f t="shared" si="1"/>
        <v>5814.0752099999972</v>
      </c>
      <c r="AD9" s="31">
        <f t="shared" si="1"/>
        <v>7180.9247900000028</v>
      </c>
      <c r="AE9" s="31">
        <f>O9</f>
        <v>2550</v>
      </c>
      <c r="AF9" s="31">
        <f t="shared" si="6"/>
        <v>4736</v>
      </c>
      <c r="AG9" s="31">
        <f t="shared" si="6"/>
        <v>5350</v>
      </c>
      <c r="AH9" s="31">
        <f t="shared" si="7"/>
        <v>4870</v>
      </c>
      <c r="AI9" s="31">
        <f t="shared" si="8"/>
        <v>2391</v>
      </c>
      <c r="AJ9" s="31">
        <f t="shared" si="3"/>
        <v>6782</v>
      </c>
      <c r="AK9" s="31">
        <f t="shared" si="3"/>
        <v>6702</v>
      </c>
      <c r="AL9" s="32">
        <f t="shared" si="3"/>
        <v>6222.4631199999967</v>
      </c>
    </row>
    <row r="10" spans="2:38" s="5" customFormat="1" ht="15.75" thickBot="1" x14ac:dyDescent="0.3">
      <c r="D10" s="15" t="s">
        <v>35</v>
      </c>
      <c r="E10" s="16">
        <f>SUM(E6:E9)</f>
        <v>114974</v>
      </c>
      <c r="F10" s="16">
        <f>SUM(F6:F9)</f>
        <v>77269.079859267804</v>
      </c>
      <c r="G10" s="16">
        <f>SUM(G6:G9)</f>
        <v>106532.99999999994</v>
      </c>
      <c r="H10" s="16">
        <f>SUM(H6:H9)</f>
        <v>58349</v>
      </c>
      <c r="I10" s="16">
        <f>SUM(I6:I9)</f>
        <v>108794.48834439726</v>
      </c>
      <c r="J10" s="16">
        <f t="shared" ref="J10:V10" si="9">SUM(J6:J9)</f>
        <v>146481</v>
      </c>
      <c r="K10" s="16">
        <f t="shared" si="9"/>
        <v>31111</v>
      </c>
      <c r="L10" s="16">
        <f t="shared" si="9"/>
        <v>60590</v>
      </c>
      <c r="M10" s="16">
        <f t="shared" si="9"/>
        <v>85631.862512646403</v>
      </c>
      <c r="N10" s="16">
        <f t="shared" si="9"/>
        <v>96993</v>
      </c>
      <c r="O10" s="16">
        <f t="shared" si="9"/>
        <v>21431</v>
      </c>
      <c r="P10" s="16">
        <f t="shared" si="9"/>
        <v>39705</v>
      </c>
      <c r="Q10" s="16">
        <f t="shared" si="9"/>
        <v>45364</v>
      </c>
      <c r="R10" s="16">
        <f t="shared" si="9"/>
        <v>34655</v>
      </c>
      <c r="S10" s="16">
        <f t="shared" si="9"/>
        <v>-15052</v>
      </c>
      <c r="T10" s="16">
        <f t="shared" si="9"/>
        <v>-37683</v>
      </c>
      <c r="U10" s="16">
        <f t="shared" si="9"/>
        <v>-43319</v>
      </c>
      <c r="V10" s="17">
        <f t="shared" si="9"/>
        <v>-43059.81859810758</v>
      </c>
      <c r="W10" s="18">
        <f t="shared" si="4"/>
        <v>-2.2425283104344995</v>
      </c>
      <c r="X10" s="2"/>
      <c r="Y10" s="16">
        <f t="shared" ref="Y10:AF10" si="10">SUM(Y6:Y9)</f>
        <v>50445.488344397265</v>
      </c>
      <c r="Z10" s="16">
        <f t="shared" si="10"/>
        <v>37686.511655602735</v>
      </c>
      <c r="AA10" s="16">
        <f t="shared" si="10"/>
        <v>31111</v>
      </c>
      <c r="AB10" s="16">
        <f>SUM(AB6:AB9)</f>
        <v>29479</v>
      </c>
      <c r="AC10" s="16">
        <f>SUM(AC6:AC9)</f>
        <v>25041.862512646403</v>
      </c>
      <c r="AD10" s="16">
        <f t="shared" si="10"/>
        <v>11361.137487353595</v>
      </c>
      <c r="AE10" s="16">
        <f t="shared" si="10"/>
        <v>21431</v>
      </c>
      <c r="AF10" s="16">
        <f t="shared" si="10"/>
        <v>18274</v>
      </c>
      <c r="AG10" s="16">
        <f t="shared" ref="AG10:AL10" si="11">SUM(AG6:AG9)</f>
        <v>5659</v>
      </c>
      <c r="AH10" s="16">
        <f t="shared" si="11"/>
        <v>-10709</v>
      </c>
      <c r="AI10" s="16">
        <f t="shared" si="11"/>
        <v>-15052</v>
      </c>
      <c r="AJ10" s="16">
        <f t="shared" si="11"/>
        <v>-22631</v>
      </c>
      <c r="AK10" s="16">
        <f t="shared" si="11"/>
        <v>-5636</v>
      </c>
      <c r="AL10" s="17">
        <f t="shared" si="11"/>
        <v>259.18140189241603</v>
      </c>
    </row>
    <row r="11" spans="2:38" s="5" customFormat="1" ht="9" customHeight="1" x14ac:dyDescent="0.25">
      <c r="D11" s="10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9"/>
      <c r="W11" s="19"/>
      <c r="X11" s="2"/>
    </row>
    <row r="12" spans="2:38" s="5" customFormat="1" x14ac:dyDescent="0.25"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2"/>
      <c r="W12" s="22" t="s">
        <v>29</v>
      </c>
      <c r="X12" s="2"/>
      <c r="AK12" s="22"/>
      <c r="AL12" s="22" t="s">
        <v>29</v>
      </c>
    </row>
    <row r="13" spans="2:38" s="5" customFormat="1" x14ac:dyDescent="0.25"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"/>
    </row>
    <row r="14" spans="2:38" s="5" customFormat="1" x14ac:dyDescent="0.25">
      <c r="D14" s="10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9"/>
      <c r="W14" s="19"/>
      <c r="X14" s="2"/>
    </row>
    <row r="15" spans="2:38" s="5" customFormat="1" ht="15.75" thickBot="1" x14ac:dyDescent="0.3">
      <c r="D15" s="6"/>
      <c r="E15" s="7" t="s">
        <v>6</v>
      </c>
      <c r="F15" s="7" t="s">
        <v>115</v>
      </c>
      <c r="G15" s="7" t="s">
        <v>3</v>
      </c>
      <c r="H15" s="7" t="s">
        <v>116</v>
      </c>
      <c r="I15" s="7" t="s">
        <v>117</v>
      </c>
      <c r="J15" s="7" t="s">
        <v>4</v>
      </c>
      <c r="K15" s="7" t="s">
        <v>118</v>
      </c>
      <c r="L15" s="7" t="s">
        <v>119</v>
      </c>
      <c r="M15" s="7" t="s">
        <v>120</v>
      </c>
      <c r="N15" s="7" t="s">
        <v>14</v>
      </c>
      <c r="O15" s="7" t="s">
        <v>121</v>
      </c>
      <c r="P15" s="7" t="s">
        <v>122</v>
      </c>
      <c r="Q15" s="7" t="s">
        <v>123</v>
      </c>
      <c r="R15" s="7" t="s">
        <v>16</v>
      </c>
      <c r="S15" s="7" t="s">
        <v>17</v>
      </c>
      <c r="T15" s="7" t="s">
        <v>88</v>
      </c>
      <c r="U15" s="7" t="s">
        <v>92</v>
      </c>
      <c r="V15" s="8" t="s">
        <v>95</v>
      </c>
      <c r="W15" s="23" t="s">
        <v>2</v>
      </c>
      <c r="X15" s="2"/>
      <c r="Y15" s="7" t="s">
        <v>124</v>
      </c>
      <c r="Z15" s="7" t="s">
        <v>125</v>
      </c>
      <c r="AA15" s="7" t="s">
        <v>126</v>
      </c>
      <c r="AB15" s="7" t="s">
        <v>127</v>
      </c>
      <c r="AC15" s="7" t="s">
        <v>128</v>
      </c>
      <c r="AD15" s="7" t="s">
        <v>129</v>
      </c>
      <c r="AE15" s="7" t="s">
        <v>130</v>
      </c>
      <c r="AF15" s="7" t="s">
        <v>131</v>
      </c>
      <c r="AG15" s="7" t="s">
        <v>132</v>
      </c>
      <c r="AH15" s="7" t="s">
        <v>133</v>
      </c>
      <c r="AI15" s="7" t="s">
        <v>41</v>
      </c>
      <c r="AJ15" s="7" t="s">
        <v>89</v>
      </c>
      <c r="AK15" s="7" t="s">
        <v>93</v>
      </c>
      <c r="AL15" s="8" t="s">
        <v>94</v>
      </c>
    </row>
    <row r="16" spans="2:38" s="5" customFormat="1" x14ac:dyDescent="0.25">
      <c r="D16" s="12" t="s">
        <v>39</v>
      </c>
      <c r="E16" s="19">
        <f>-E7/E6</f>
        <v>0.66348095601937873</v>
      </c>
      <c r="F16" s="19">
        <f t="shared" ref="F16" si="12">-F7/F6</f>
        <v>0.69758762509696937</v>
      </c>
      <c r="G16" s="19">
        <f>-G7/G6</f>
        <v>0.69445376174815487</v>
      </c>
      <c r="H16" s="19">
        <f>-H7/H6</f>
        <v>0.65654608384225788</v>
      </c>
      <c r="I16" s="19">
        <f>-I7/I6</f>
        <v>0.62186003458244254</v>
      </c>
      <c r="J16" s="19">
        <f t="shared" ref="J16:K16" si="13">-J7/J6</f>
        <v>0.61836155752353494</v>
      </c>
      <c r="K16" s="19">
        <f t="shared" si="13"/>
        <v>0.65592576514000434</v>
      </c>
      <c r="L16" s="19">
        <f>-L7/L6</f>
        <v>0.66002168249704696</v>
      </c>
      <c r="M16" s="19">
        <f>-M7/M6</f>
        <v>0.66981792373420779</v>
      </c>
      <c r="N16" s="19">
        <f>-N7/N6</f>
        <v>0.6943283214593492</v>
      </c>
      <c r="O16" s="19">
        <f>-O7/O6</f>
        <v>0.70204208426663184</v>
      </c>
      <c r="P16" s="19">
        <f t="shared" ref="P16" si="14">-P7/P6</f>
        <v>0.71950557684051941</v>
      </c>
      <c r="Q16" s="19">
        <f t="shared" ref="Q16:V16" si="15">-Q7/Q6</f>
        <v>0.7455398358160541</v>
      </c>
      <c r="R16" s="19">
        <f t="shared" si="15"/>
        <v>0.77704247303120499</v>
      </c>
      <c r="S16" s="19">
        <f t="shared" si="15"/>
        <v>0.88829944002357797</v>
      </c>
      <c r="T16" s="19">
        <f t="shared" si="15"/>
        <v>0.92996369569013371</v>
      </c>
      <c r="U16" s="19">
        <f t="shared" si="15"/>
        <v>0.90865914856071472</v>
      </c>
      <c r="V16" s="24">
        <f t="shared" si="15"/>
        <v>0.88596350330978246</v>
      </c>
      <c r="W16" s="25">
        <f>(V16-R16)*100</f>
        <v>10.892103027857747</v>
      </c>
      <c r="X16" s="2"/>
      <c r="Y16" s="19">
        <f t="shared" ref="Y16:AB16" si="16">-Y7/Y6</f>
        <v>0.55298761665306551</v>
      </c>
      <c r="Z16" s="19">
        <f t="shared" si="16"/>
        <v>0.60800340091503535</v>
      </c>
      <c r="AA16" s="19">
        <f t="shared" si="16"/>
        <v>0.65592576514000434</v>
      </c>
      <c r="AB16" s="19">
        <f t="shared" si="16"/>
        <v>0.66406828002530482</v>
      </c>
      <c r="AC16" s="19">
        <f>-AC7/AC6</f>
        <v>0.68908397512763253</v>
      </c>
      <c r="AD16" s="19">
        <f t="shared" ref="AD16:AG16" si="17">-AD7/AD6</f>
        <v>0.7672759570449641</v>
      </c>
      <c r="AE16" s="19">
        <f t="shared" si="17"/>
        <v>0.70204208426663184</v>
      </c>
      <c r="AF16" s="19">
        <f t="shared" si="17"/>
        <v>0.73665200500850803</v>
      </c>
      <c r="AG16" s="19">
        <f t="shared" si="17"/>
        <v>0.79610082482551769</v>
      </c>
      <c r="AH16" s="19">
        <f>-AH7/AH6</f>
        <v>0.86900624349635791</v>
      </c>
      <c r="AI16" s="19">
        <f>-AI7/AI6</f>
        <v>0.88829944002357797</v>
      </c>
      <c r="AJ16" s="19">
        <f>-AJ7/AJ6</f>
        <v>0.97083529089848364</v>
      </c>
      <c r="AK16" s="19">
        <f>-AK7/AK6</f>
        <v>0.86707666325850641</v>
      </c>
      <c r="AL16" s="24">
        <f>-AL7/AL6</f>
        <v>0.81927789986074806</v>
      </c>
    </row>
    <row r="17" spans="4:38" s="5" customFormat="1" ht="15.75" thickBot="1" x14ac:dyDescent="0.3">
      <c r="D17" s="12" t="s">
        <v>40</v>
      </c>
      <c r="E17" s="19">
        <f>-(E8+E9)/E6</f>
        <v>0.17650423578434032</v>
      </c>
      <c r="F17" s="19">
        <f t="shared" ref="F17" si="18">-(F8+F9)/F6</f>
        <v>0.16399869758084679</v>
      </c>
      <c r="G17" s="19">
        <f>-(G8+G9)/G6</f>
        <v>0.16318125266434053</v>
      </c>
      <c r="H17" s="19">
        <f>-(H8+H9)/H6</f>
        <v>0.18750517833518193</v>
      </c>
      <c r="I17" s="19">
        <f>-(I8+I9)/I6</f>
        <v>0.18475840631237345</v>
      </c>
      <c r="J17" s="19">
        <f t="shared" ref="J17:K17" si="19">-(J8+J9)/J6</f>
        <v>0.18700646421429568</v>
      </c>
      <c r="K17" s="19">
        <f t="shared" si="19"/>
        <v>0.17524962014326026</v>
      </c>
      <c r="L17" s="19">
        <f>-(L8+L9)/L6</f>
        <v>0.17657750953328694</v>
      </c>
      <c r="M17" s="19">
        <f>-(M8+M9)/M6</f>
        <v>0.17709043454676199</v>
      </c>
      <c r="N17" s="19">
        <f>-(N8+N9)/N6</f>
        <v>0.17587904058922083</v>
      </c>
      <c r="O17" s="19">
        <f>-(O8+O9)/O6</f>
        <v>0.18116072353111085</v>
      </c>
      <c r="P17" s="19">
        <f t="shared" ref="P17" si="20">-(P8+P9)/P6</f>
        <v>0.1732911054051208</v>
      </c>
      <c r="Q17" s="19">
        <f t="shared" ref="Q17:V17" si="21">-(Q8+Q9)/Q6</f>
        <v>0.1736086604714496</v>
      </c>
      <c r="R17" s="19">
        <f t="shared" si="21"/>
        <v>0.17695193540764498</v>
      </c>
      <c r="S17" s="19">
        <f t="shared" si="21"/>
        <v>0.19091827712517367</v>
      </c>
      <c r="T17" s="19">
        <f t="shared" si="21"/>
        <v>0.16824558705867329</v>
      </c>
      <c r="U17" s="19">
        <f t="shared" si="21"/>
        <v>0.16599171445902725</v>
      </c>
      <c r="V17" s="24">
        <f t="shared" si="21"/>
        <v>0.16939881576875782</v>
      </c>
      <c r="W17" s="25">
        <f t="shared" ref="W17:W18" si="22">(V17-R17)*100</f>
        <v>-0.75531196388871624</v>
      </c>
      <c r="X17" s="2"/>
      <c r="Y17" s="19">
        <f t="shared" ref="Y17:AB17" si="23">-(Y8+Y9)/Y6</f>
        <v>0.1793044317390641</v>
      </c>
      <c r="Z17" s="19">
        <f t="shared" si="23"/>
        <v>0.19366242777243786</v>
      </c>
      <c r="AA17" s="19">
        <f t="shared" si="23"/>
        <v>0.17524962014326026</v>
      </c>
      <c r="AB17" s="19">
        <f t="shared" si="23"/>
        <v>0.17788940951931634</v>
      </c>
      <c r="AC17" s="19">
        <f>-(AC8+AC9)/AC6</f>
        <v>0.17809919284817022</v>
      </c>
      <c r="AD17" s="19">
        <f t="shared" ref="AD17:AG17" si="24">-(AD8+AD9)/AD6</f>
        <v>0.1722737002778848</v>
      </c>
      <c r="AE17" s="19">
        <f t="shared" si="24"/>
        <v>0.18116072353111085</v>
      </c>
      <c r="AF17" s="19">
        <f t="shared" si="24"/>
        <v>0.16556436681970441</v>
      </c>
      <c r="AG17" s="19">
        <f t="shared" si="24"/>
        <v>0.17422538239288543</v>
      </c>
      <c r="AH17" s="19">
        <f>-(AH8+AH9)/AH6</f>
        <v>0.18671175858480749</v>
      </c>
      <c r="AI17" s="19">
        <f>-(AI8+AI9)/AI6</f>
        <v>0.19091827712517367</v>
      </c>
      <c r="AJ17" s="19">
        <f>-(AJ8+AJ9)/AJ6</f>
        <v>0.14600424382915231</v>
      </c>
      <c r="AK17" s="19">
        <f>-(AK8+AK9)/AK6</f>
        <v>0.16159257733217355</v>
      </c>
      <c r="AL17" s="24">
        <f>-(AL8+AL9)/AL6</f>
        <v>0.17940974977567029</v>
      </c>
    </row>
    <row r="18" spans="4:38" s="5" customFormat="1" ht="15.75" thickBot="1" x14ac:dyDescent="0.3">
      <c r="D18" s="15" t="s">
        <v>36</v>
      </c>
      <c r="E18" s="26">
        <f>-(E7+E8+E9)/E6</f>
        <v>0.839985191803719</v>
      </c>
      <c r="F18" s="26">
        <f t="shared" ref="F18" si="25">-(F7+F8+F9)/F6</f>
        <v>0.8615863226778161</v>
      </c>
      <c r="G18" s="26">
        <f>-(G7+G8+G9)/G6</f>
        <v>0.85763501441249534</v>
      </c>
      <c r="H18" s="26">
        <f>-(H7+H8+H9)/H6</f>
        <v>0.84405126217743986</v>
      </c>
      <c r="I18" s="26">
        <f>-(I7+I8+I9)/I6</f>
        <v>0.80661844089481605</v>
      </c>
      <c r="J18" s="26">
        <f t="shared" ref="J18:K18" si="26">-(J7+J8+J9)/J6</f>
        <v>0.80536802173783062</v>
      </c>
      <c r="K18" s="26">
        <f t="shared" si="26"/>
        <v>0.83117538528326462</v>
      </c>
      <c r="L18" s="26">
        <f>-(L7+L8+L9)/L6</f>
        <v>0.83659919203033395</v>
      </c>
      <c r="M18" s="26">
        <f>-(M7+M8+M9)/M6</f>
        <v>0.84690835828096978</v>
      </c>
      <c r="N18" s="26">
        <f>-(N7+N8+N9)/N6</f>
        <v>0.87020736204857008</v>
      </c>
      <c r="O18" s="26">
        <f>-(O7+O8+O9)/O6</f>
        <v>0.88320280779774263</v>
      </c>
      <c r="P18" s="26">
        <f t="shared" ref="P18" si="27">-(P7+P8+P9)/P6</f>
        <v>0.89279668224564013</v>
      </c>
      <c r="Q18" s="26">
        <f t="shared" ref="Q18:V18" si="28">-(Q7+Q8+Q9)/Q6</f>
        <v>0.91914849628750372</v>
      </c>
      <c r="R18" s="26">
        <f t="shared" si="28"/>
        <v>0.95399440843884997</v>
      </c>
      <c r="S18" s="26">
        <f t="shared" si="28"/>
        <v>1.0792177171487516</v>
      </c>
      <c r="T18" s="26">
        <f t="shared" si="28"/>
        <v>1.098209282748807</v>
      </c>
      <c r="U18" s="26">
        <f t="shared" si="28"/>
        <v>1.074650863019742</v>
      </c>
      <c r="V18" s="27">
        <f t="shared" si="28"/>
        <v>1.0553623190785404</v>
      </c>
      <c r="W18" s="28">
        <f t="shared" si="22"/>
        <v>10.136791063969042</v>
      </c>
      <c r="X18" s="2"/>
      <c r="Y18" s="26">
        <f t="shared" ref="Y18:AB18" si="29">-(Y7+Y8+Y9)/Y6</f>
        <v>0.73229204839212969</v>
      </c>
      <c r="Z18" s="26">
        <f t="shared" si="29"/>
        <v>0.80166582868747316</v>
      </c>
      <c r="AA18" s="26">
        <f t="shared" si="29"/>
        <v>0.83117538528326462</v>
      </c>
      <c r="AB18" s="26">
        <f t="shared" si="29"/>
        <v>0.84195768954462114</v>
      </c>
      <c r="AC18" s="26">
        <f>-(AC7+AC8+AC9)/AC6</f>
        <v>0.86718316797580264</v>
      </c>
      <c r="AD18" s="26">
        <f t="shared" ref="AD18:AG18" si="30">-(AD7+AD8+AD9)/AD6</f>
        <v>0.93954965732284901</v>
      </c>
      <c r="AE18" s="26">
        <f t="shared" si="30"/>
        <v>0.88320280779774263</v>
      </c>
      <c r="AF18" s="26">
        <f t="shared" si="30"/>
        <v>0.90221637182821246</v>
      </c>
      <c r="AG18" s="26">
        <f t="shared" si="30"/>
        <v>0.97032620721840313</v>
      </c>
      <c r="AH18" s="26">
        <f>-(AH7+AH8+AH9)/AH6</f>
        <v>1.0557180020811654</v>
      </c>
      <c r="AI18" s="26">
        <f>-(AI7+AI8+AI9)/AI6</f>
        <v>1.0792177171487516</v>
      </c>
      <c r="AJ18" s="26">
        <f>-(AJ7+AJ8+AJ9)/AJ6</f>
        <v>1.1168395347276361</v>
      </c>
      <c r="AK18" s="26">
        <f>-(AK7+AK8+AK9)/AK6</f>
        <v>1.0286692405906799</v>
      </c>
      <c r="AL18" s="27">
        <f>-(AL7+AL8+AL9)/AL6</f>
        <v>0.99868764963641832</v>
      </c>
    </row>
    <row r="19" spans="4:38" s="5" customFormat="1" x14ac:dyDescent="0.25">
      <c r="D19" s="1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2"/>
      <c r="W19" s="52"/>
      <c r="X19" s="13"/>
    </row>
    <row r="20" spans="4:38" s="5" customFormat="1" x14ac:dyDescent="0.25">
      <c r="V20" s="123"/>
      <c r="W20" s="123"/>
      <c r="X20" s="21"/>
    </row>
  </sheetData>
  <hyperlinks>
    <hyperlink ref="B2" location="'Suplemento Financiero&gt;&gt;&gt;'!A1" display="ÍNDICE" xr:uid="{8E58F0D4-F04B-4636-ADCE-B1BA6829FA80}"/>
  </hyperlinks>
  <pageMargins left="0.7" right="0.7" top="0.75" bottom="0.75" header="0.3" footer="0.3"/>
  <pageSetup paperSize="9" scale="71" orientation="landscape" r:id="rId1"/>
  <colBreaks count="1" manualBreakCount="1">
    <brk id="32" max="1048575" man="1"/>
  </colBreaks>
  <ignoredErrors>
    <ignoredError sqref="AA5:AI10" formula="1"/>
    <ignoredError sqref="E10:V10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L20"/>
  <sheetViews>
    <sheetView showGridLines="0" zoomScaleNormal="100" workbookViewId="0">
      <selection activeCell="B2" sqref="B2"/>
    </sheetView>
  </sheetViews>
  <sheetFormatPr baseColWidth="10" defaultColWidth="10.8554687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45.7109375" style="1" customWidth="1"/>
    <col min="5" max="5" width="11" style="1" customWidth="1"/>
    <col min="6" max="6" width="11" style="1" hidden="1" customWidth="1" outlineLevel="1"/>
    <col min="7" max="7" width="11" style="1" customWidth="1" collapsed="1"/>
    <col min="8" max="9" width="11" style="1" hidden="1" customWidth="1" outlineLevel="1"/>
    <col min="10" max="10" width="11" style="1" customWidth="1" collapsed="1"/>
    <col min="11" max="13" width="11" style="1" hidden="1" customWidth="1" outlineLevel="1"/>
    <col min="14" max="14" width="11" style="1" customWidth="1" collapsed="1"/>
    <col min="15" max="17" width="11" style="1" hidden="1" customWidth="1" outlineLevel="1"/>
    <col min="18" max="18" width="11" style="1" customWidth="1" collapsed="1"/>
    <col min="19" max="21" width="11" style="124" hidden="1" customWidth="1" outlineLevel="1"/>
    <col min="22" max="22" width="11" style="124" customWidth="1" collapsed="1"/>
    <col min="23" max="23" width="11" style="1" customWidth="1"/>
    <col min="24" max="24" width="3" style="2" customWidth="1"/>
    <col min="25" max="16384" width="10.85546875" style="1"/>
  </cols>
  <sheetData>
    <row r="1" spans="2:38" ht="16.5" customHeight="1" x14ac:dyDescent="0.25"/>
    <row r="2" spans="2:38" ht="18.75" customHeight="1" thickBot="1" x14ac:dyDescent="0.3">
      <c r="B2" s="3" t="s">
        <v>27</v>
      </c>
      <c r="D2" s="4" t="s">
        <v>146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25"/>
      <c r="T2" s="125"/>
      <c r="U2" s="125"/>
      <c r="V2" s="125"/>
      <c r="W2" s="4"/>
      <c r="Y2" s="4" t="s">
        <v>34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4" spans="2:38" s="5" customFormat="1" ht="15.75" thickBot="1" x14ac:dyDescent="0.3">
      <c r="D4" s="6"/>
      <c r="E4" s="7" t="s">
        <v>6</v>
      </c>
      <c r="F4" s="7" t="s">
        <v>115</v>
      </c>
      <c r="G4" s="7" t="s">
        <v>3</v>
      </c>
      <c r="H4" s="7" t="s">
        <v>116</v>
      </c>
      <c r="I4" s="7" t="s">
        <v>117</v>
      </c>
      <c r="J4" s="7" t="s">
        <v>4</v>
      </c>
      <c r="K4" s="7" t="s">
        <v>118</v>
      </c>
      <c r="L4" s="7" t="s">
        <v>119</v>
      </c>
      <c r="M4" s="7" t="s">
        <v>120</v>
      </c>
      <c r="N4" s="7" t="s">
        <v>14</v>
      </c>
      <c r="O4" s="7" t="s">
        <v>121</v>
      </c>
      <c r="P4" s="7" t="s">
        <v>122</v>
      </c>
      <c r="Q4" s="7" t="s">
        <v>123</v>
      </c>
      <c r="R4" s="7" t="s">
        <v>16</v>
      </c>
      <c r="S4" s="7" t="s">
        <v>17</v>
      </c>
      <c r="T4" s="7" t="s">
        <v>88</v>
      </c>
      <c r="U4" s="7" t="s">
        <v>92</v>
      </c>
      <c r="V4" s="8" t="s">
        <v>95</v>
      </c>
      <c r="W4" s="126" t="s">
        <v>0</v>
      </c>
      <c r="X4" s="2"/>
      <c r="Y4" s="7" t="s">
        <v>124</v>
      </c>
      <c r="Z4" s="7" t="s">
        <v>125</v>
      </c>
      <c r="AA4" s="7" t="s">
        <v>126</v>
      </c>
      <c r="AB4" s="7" t="s">
        <v>127</v>
      </c>
      <c r="AC4" s="7" t="s">
        <v>128</v>
      </c>
      <c r="AD4" s="7" t="s">
        <v>129</v>
      </c>
      <c r="AE4" s="7" t="s">
        <v>130</v>
      </c>
      <c r="AF4" s="7" t="s">
        <v>131</v>
      </c>
      <c r="AG4" s="7" t="s">
        <v>132</v>
      </c>
      <c r="AH4" s="7" t="s">
        <v>133</v>
      </c>
      <c r="AI4" s="7" t="s">
        <v>41</v>
      </c>
      <c r="AJ4" s="7" t="s">
        <v>89</v>
      </c>
      <c r="AK4" s="7" t="s">
        <v>93</v>
      </c>
      <c r="AL4" s="8" t="s">
        <v>94</v>
      </c>
    </row>
    <row r="5" spans="2:38" s="5" customFormat="1" x14ac:dyDescent="0.25">
      <c r="D5" s="10" t="s">
        <v>96</v>
      </c>
      <c r="E5" s="29">
        <v>100691.076</v>
      </c>
      <c r="F5" s="29">
        <v>82446.400180000026</v>
      </c>
      <c r="G5" s="29">
        <v>111356.549</v>
      </c>
      <c r="H5" s="29">
        <v>59705.956969999999</v>
      </c>
      <c r="I5" s="29">
        <v>89543.79578</v>
      </c>
      <c r="J5" s="29">
        <v>120653.628</v>
      </c>
      <c r="K5" s="29">
        <v>31764</v>
      </c>
      <c r="L5" s="29">
        <v>64779</v>
      </c>
      <c r="M5" s="29">
        <v>97044.810309999986</v>
      </c>
      <c r="N5" s="29">
        <v>131243</v>
      </c>
      <c r="O5" s="29">
        <v>35256</v>
      </c>
      <c r="P5" s="29">
        <v>71667</v>
      </c>
      <c r="Q5" s="29">
        <v>106896</v>
      </c>
      <c r="R5" s="29">
        <v>143713</v>
      </c>
      <c r="S5" s="29">
        <v>37607</v>
      </c>
      <c r="T5" s="29">
        <v>75283</v>
      </c>
      <c r="U5" s="29">
        <v>111604</v>
      </c>
      <c r="V5" s="30">
        <v>149430.37938000003</v>
      </c>
      <c r="W5" s="11">
        <f>+V5/R5-1</f>
        <v>3.9783313826863509E-2</v>
      </c>
      <c r="X5" s="2"/>
      <c r="Y5" s="29">
        <f>I5-H5</f>
        <v>29837.838810000001</v>
      </c>
      <c r="Z5" s="29">
        <f>J5-I5</f>
        <v>31109.832219999997</v>
      </c>
      <c r="AA5" s="29">
        <f>K5</f>
        <v>31764</v>
      </c>
      <c r="AB5" s="29">
        <f t="shared" ref="AB5:AB9" si="0">L5-K5</f>
        <v>33015</v>
      </c>
      <c r="AC5" s="29">
        <f>M5-L5</f>
        <v>32265.810309999986</v>
      </c>
      <c r="AD5" s="29">
        <f t="shared" ref="AD5:AD9" si="1">N5-M5</f>
        <v>34198.189690000014</v>
      </c>
      <c r="AE5" s="29">
        <f>O5</f>
        <v>35256</v>
      </c>
      <c r="AF5" s="29">
        <f t="shared" ref="AF5:AH7" si="2">P5-O5</f>
        <v>36411</v>
      </c>
      <c r="AG5" s="29">
        <f t="shared" si="2"/>
        <v>35229</v>
      </c>
      <c r="AH5" s="29">
        <f t="shared" si="2"/>
        <v>36817</v>
      </c>
      <c r="AI5" s="29">
        <f>S5</f>
        <v>37607</v>
      </c>
      <c r="AJ5" s="29">
        <f t="shared" ref="AJ5:AL9" si="3">T5-S5</f>
        <v>37676</v>
      </c>
      <c r="AK5" s="29">
        <f t="shared" si="3"/>
        <v>36321</v>
      </c>
      <c r="AL5" s="30">
        <f t="shared" si="3"/>
        <v>37826.379380000028</v>
      </c>
    </row>
    <row r="6" spans="2:38" s="5" customFormat="1" x14ac:dyDescent="0.25">
      <c r="D6" s="10" t="s">
        <v>134</v>
      </c>
      <c r="E6" s="29">
        <v>92406</v>
      </c>
      <c r="F6" s="29">
        <v>76020.518519999998</v>
      </c>
      <c r="G6" s="29">
        <v>102660</v>
      </c>
      <c r="H6" s="29">
        <v>54284</v>
      </c>
      <c r="I6" s="29">
        <v>82565.065399999949</v>
      </c>
      <c r="J6" s="29">
        <v>111546</v>
      </c>
      <c r="K6" s="29">
        <v>28726</v>
      </c>
      <c r="L6" s="29">
        <v>58166</v>
      </c>
      <c r="M6" s="29">
        <v>88288.386050000001</v>
      </c>
      <c r="N6" s="29">
        <v>119067</v>
      </c>
      <c r="O6" s="29">
        <v>30892</v>
      </c>
      <c r="P6" s="29">
        <v>63021</v>
      </c>
      <c r="Q6" s="29">
        <v>96242</v>
      </c>
      <c r="R6" s="29">
        <v>129799</v>
      </c>
      <c r="S6" s="29">
        <v>34433</v>
      </c>
      <c r="T6" s="29">
        <v>69841</v>
      </c>
      <c r="U6" s="29">
        <v>105756</v>
      </c>
      <c r="V6" s="30">
        <v>141956.40179</v>
      </c>
      <c r="W6" s="11">
        <f t="shared" ref="W6:W10" si="4">+V6/R6-1</f>
        <v>9.3663293168668504E-2</v>
      </c>
      <c r="X6" s="2"/>
      <c r="Y6" s="29">
        <f>I6-H6</f>
        <v>28281.065399999949</v>
      </c>
      <c r="Z6" s="29">
        <f t="shared" ref="Z6:Z9" si="5">J6-I6</f>
        <v>28980.934600000051</v>
      </c>
      <c r="AA6" s="29">
        <f t="shared" ref="AA6:AA9" si="6">K6</f>
        <v>28726</v>
      </c>
      <c r="AB6" s="29">
        <f t="shared" si="0"/>
        <v>29440</v>
      </c>
      <c r="AC6" s="29">
        <f>M6-L6</f>
        <v>30122.386050000001</v>
      </c>
      <c r="AD6" s="29">
        <f t="shared" si="1"/>
        <v>30778.613949999999</v>
      </c>
      <c r="AE6" s="29">
        <f t="shared" ref="AE6:AE9" si="7">O6</f>
        <v>30892</v>
      </c>
      <c r="AF6" s="29">
        <f t="shared" si="2"/>
        <v>32129</v>
      </c>
      <c r="AG6" s="29">
        <f t="shared" si="2"/>
        <v>33221</v>
      </c>
      <c r="AH6" s="29">
        <f t="shared" si="2"/>
        <v>33557</v>
      </c>
      <c r="AI6" s="29">
        <f t="shared" ref="AI6:AI9" si="8">S6</f>
        <v>34433</v>
      </c>
      <c r="AJ6" s="29">
        <f t="shared" si="3"/>
        <v>35408</v>
      </c>
      <c r="AK6" s="29">
        <f t="shared" si="3"/>
        <v>35915</v>
      </c>
      <c r="AL6" s="30">
        <f t="shared" si="3"/>
        <v>36200.401790000004</v>
      </c>
    </row>
    <row r="7" spans="2:38" s="5" customFormat="1" x14ac:dyDescent="0.25">
      <c r="D7" s="12" t="s">
        <v>37</v>
      </c>
      <c r="E7" s="31">
        <v>-48215</v>
      </c>
      <c r="F7" s="31">
        <v>-39724.096594049995</v>
      </c>
      <c r="G7" s="31">
        <v>-53137</v>
      </c>
      <c r="H7" s="31">
        <v>-28390</v>
      </c>
      <c r="I7" s="31">
        <v>-45994.703035557985</v>
      </c>
      <c r="J7" s="31">
        <v>-63678</v>
      </c>
      <c r="K7" s="31">
        <v>-18299</v>
      </c>
      <c r="L7" s="31">
        <v>-33435</v>
      </c>
      <c r="M7" s="31">
        <v>-49774.005104250042</v>
      </c>
      <c r="N7" s="31">
        <v>-66003</v>
      </c>
      <c r="O7" s="31">
        <v>-18499</v>
      </c>
      <c r="P7" s="31">
        <v>-36183</v>
      </c>
      <c r="Q7" s="31">
        <v>-58937</v>
      </c>
      <c r="R7" s="31">
        <v>-81840</v>
      </c>
      <c r="S7" s="31">
        <v>-24748</v>
      </c>
      <c r="T7" s="31">
        <v>-46179</v>
      </c>
      <c r="U7" s="31">
        <v>-72041</v>
      </c>
      <c r="V7" s="32">
        <v>-97314.033498874967</v>
      </c>
      <c r="W7" s="14">
        <f t="shared" si="4"/>
        <v>0.18907665565585252</v>
      </c>
      <c r="X7" s="2"/>
      <c r="Y7" s="31">
        <f>I7-H7</f>
        <v>-17604.703035557985</v>
      </c>
      <c r="Z7" s="31">
        <f t="shared" si="5"/>
        <v>-17683.296964442015</v>
      </c>
      <c r="AA7" s="31">
        <f t="shared" si="6"/>
        <v>-18299</v>
      </c>
      <c r="AB7" s="31">
        <f t="shared" si="0"/>
        <v>-15136</v>
      </c>
      <c r="AC7" s="31">
        <f>M7-L7</f>
        <v>-16339.005104250042</v>
      </c>
      <c r="AD7" s="31">
        <f t="shared" si="1"/>
        <v>-16228.994895749958</v>
      </c>
      <c r="AE7" s="31">
        <f t="shared" si="7"/>
        <v>-18499</v>
      </c>
      <c r="AF7" s="31">
        <f t="shared" si="2"/>
        <v>-17684</v>
      </c>
      <c r="AG7" s="31">
        <f t="shared" si="2"/>
        <v>-22754</v>
      </c>
      <c r="AH7" s="31">
        <f t="shared" si="2"/>
        <v>-22903</v>
      </c>
      <c r="AI7" s="31">
        <f t="shared" si="8"/>
        <v>-24748</v>
      </c>
      <c r="AJ7" s="31">
        <f t="shared" si="3"/>
        <v>-21431</v>
      </c>
      <c r="AK7" s="31">
        <f t="shared" si="3"/>
        <v>-25862</v>
      </c>
      <c r="AL7" s="32">
        <f t="shared" si="3"/>
        <v>-25273.033498874967</v>
      </c>
    </row>
    <row r="8" spans="2:38" s="5" customFormat="1" x14ac:dyDescent="0.25">
      <c r="D8" s="12" t="s">
        <v>38</v>
      </c>
      <c r="E8" s="31">
        <v>-35037</v>
      </c>
      <c r="F8" s="31">
        <v>-27774.558025313498</v>
      </c>
      <c r="G8" s="31">
        <v>-37209</v>
      </c>
      <c r="H8" s="31">
        <v>-19678</v>
      </c>
      <c r="I8" s="31">
        <v>-30927.286957193995</v>
      </c>
      <c r="J8" s="31">
        <v>-40873</v>
      </c>
      <c r="K8" s="31">
        <v>-9867</v>
      </c>
      <c r="L8" s="31">
        <v>-19550</v>
      </c>
      <c r="M8" s="31">
        <v>-29832.20227503881</v>
      </c>
      <c r="N8" s="31">
        <v>-39888</v>
      </c>
      <c r="O8" s="31">
        <v>-9994</v>
      </c>
      <c r="P8" s="31">
        <v>-20405</v>
      </c>
      <c r="Q8" s="31">
        <v>-30785</v>
      </c>
      <c r="R8" s="31">
        <v>-41989</v>
      </c>
      <c r="S8" s="31">
        <v>-9156</v>
      </c>
      <c r="T8" s="31">
        <v>-20875</v>
      </c>
      <c r="U8" s="31">
        <v>-31321</v>
      </c>
      <c r="V8" s="32">
        <v>-41862.6880144522</v>
      </c>
      <c r="W8" s="14">
        <f t="shared" si="4"/>
        <v>-3.0082160934482571E-3</v>
      </c>
      <c r="X8" s="2"/>
      <c r="Y8" s="31">
        <f>I8-H8</f>
        <v>-11249.286957193995</v>
      </c>
      <c r="Z8" s="31">
        <f t="shared" si="5"/>
        <v>-9945.7130428060045</v>
      </c>
      <c r="AA8" s="31">
        <f t="shared" si="6"/>
        <v>-9867</v>
      </c>
      <c r="AB8" s="31">
        <f t="shared" si="0"/>
        <v>-9683</v>
      </c>
      <c r="AC8" s="31">
        <f>M8-L8</f>
        <v>-10282.20227503881</v>
      </c>
      <c r="AD8" s="31">
        <f t="shared" si="1"/>
        <v>-10055.79772496119</v>
      </c>
      <c r="AE8" s="31">
        <f t="shared" si="7"/>
        <v>-9994</v>
      </c>
      <c r="AF8" s="31">
        <f t="shared" ref="AF8:AF9" si="9">P8-O8</f>
        <v>-10411</v>
      </c>
      <c r="AG8" s="31">
        <f>Q8-P8</f>
        <v>-10380</v>
      </c>
      <c r="AH8" s="31">
        <f>R8-Q8</f>
        <v>-11204</v>
      </c>
      <c r="AI8" s="31">
        <f t="shared" si="8"/>
        <v>-9156</v>
      </c>
      <c r="AJ8" s="31">
        <f t="shared" si="3"/>
        <v>-11719</v>
      </c>
      <c r="AK8" s="31">
        <f t="shared" si="3"/>
        <v>-10446</v>
      </c>
      <c r="AL8" s="32">
        <f t="shared" si="3"/>
        <v>-10541.6880144522</v>
      </c>
    </row>
    <row r="9" spans="2:38" s="5" customFormat="1" ht="15.75" thickBot="1" x14ac:dyDescent="0.3">
      <c r="D9" s="12" t="s">
        <v>135</v>
      </c>
      <c r="E9" s="31">
        <v>-460</v>
      </c>
      <c r="F9" s="31">
        <v>102.78219999999999</v>
      </c>
      <c r="G9" s="31">
        <v>33</v>
      </c>
      <c r="H9" s="31">
        <v>-120</v>
      </c>
      <c r="I9" s="31">
        <v>-215.857</v>
      </c>
      <c r="J9" s="31">
        <v>-311</v>
      </c>
      <c r="K9" s="31">
        <v>-60</v>
      </c>
      <c r="L9" s="31">
        <v>-91</v>
      </c>
      <c r="M9" s="31">
        <v>-91.850300000000004</v>
      </c>
      <c r="N9" s="31">
        <v>-5</v>
      </c>
      <c r="O9" s="31">
        <v>-61</v>
      </c>
      <c r="P9" s="31">
        <v>-121</v>
      </c>
      <c r="Q9" s="31">
        <v>-181</v>
      </c>
      <c r="R9" s="31">
        <v>-241</v>
      </c>
      <c r="S9" s="31">
        <v>0</v>
      </c>
      <c r="T9" s="31">
        <v>0</v>
      </c>
      <c r="U9" s="31">
        <v>0</v>
      </c>
      <c r="V9" s="32">
        <v>0</v>
      </c>
      <c r="W9" s="14">
        <f t="shared" si="4"/>
        <v>-1</v>
      </c>
      <c r="X9" s="2"/>
      <c r="Y9" s="31">
        <f>I9-H9</f>
        <v>-95.856999999999999</v>
      </c>
      <c r="Z9" s="31">
        <f t="shared" si="5"/>
        <v>-95.143000000000001</v>
      </c>
      <c r="AA9" s="31">
        <f t="shared" si="6"/>
        <v>-60</v>
      </c>
      <c r="AB9" s="31">
        <f t="shared" si="0"/>
        <v>-31</v>
      </c>
      <c r="AC9" s="31">
        <f>M9-L9</f>
        <v>-0.85030000000000427</v>
      </c>
      <c r="AD9" s="31">
        <f t="shared" si="1"/>
        <v>86.850300000000004</v>
      </c>
      <c r="AE9" s="31">
        <f t="shared" si="7"/>
        <v>-61</v>
      </c>
      <c r="AF9" s="31">
        <f t="shared" si="9"/>
        <v>-60</v>
      </c>
      <c r="AG9" s="31">
        <f>Q9-P9</f>
        <v>-60</v>
      </c>
      <c r="AH9" s="31">
        <f>R9-Q9</f>
        <v>-60</v>
      </c>
      <c r="AI9" s="31">
        <f t="shared" si="8"/>
        <v>0</v>
      </c>
      <c r="AJ9" s="31">
        <f t="shared" si="3"/>
        <v>0</v>
      </c>
      <c r="AK9" s="31">
        <f t="shared" si="3"/>
        <v>0</v>
      </c>
      <c r="AL9" s="32">
        <f t="shared" si="3"/>
        <v>0</v>
      </c>
    </row>
    <row r="10" spans="2:38" s="5" customFormat="1" ht="15.75" thickBot="1" x14ac:dyDescent="0.3">
      <c r="D10" s="15" t="s">
        <v>35</v>
      </c>
      <c r="E10" s="16">
        <f>SUM(E6:E9)</f>
        <v>8694</v>
      </c>
      <c r="F10" s="16">
        <f>SUM(F6:F9)</f>
        <v>8624.6461006365043</v>
      </c>
      <c r="G10" s="16">
        <f>SUM(G6:G9)</f>
        <v>12347</v>
      </c>
      <c r="H10" s="16">
        <f t="shared" ref="H10:Q10" si="10">SUM(H6:H9)</f>
        <v>6096</v>
      </c>
      <c r="I10" s="16">
        <f t="shared" si="10"/>
        <v>5427.2184072479686</v>
      </c>
      <c r="J10" s="16">
        <f t="shared" si="10"/>
        <v>6684</v>
      </c>
      <c r="K10" s="16">
        <f t="shared" si="10"/>
        <v>500</v>
      </c>
      <c r="L10" s="16">
        <f t="shared" si="10"/>
        <v>5090</v>
      </c>
      <c r="M10" s="16">
        <f t="shared" si="10"/>
        <v>8590.3283707111495</v>
      </c>
      <c r="N10" s="16">
        <f t="shared" si="10"/>
        <v>13171</v>
      </c>
      <c r="O10" s="16">
        <f t="shared" si="10"/>
        <v>2338</v>
      </c>
      <c r="P10" s="16">
        <f t="shared" si="10"/>
        <v>6312</v>
      </c>
      <c r="Q10" s="16">
        <f t="shared" si="10"/>
        <v>6339</v>
      </c>
      <c r="R10" s="16">
        <f>SUM(R6:R9)</f>
        <v>5729</v>
      </c>
      <c r="S10" s="127">
        <f>SUM(S6:S9)</f>
        <v>529</v>
      </c>
      <c r="T10" s="127">
        <f>SUM(T6:T9)</f>
        <v>2787</v>
      </c>
      <c r="U10" s="127">
        <f>SUM(U6:U9)</f>
        <v>2394</v>
      </c>
      <c r="V10" s="17">
        <f>SUM(V6:V9)</f>
        <v>2779.680276672836</v>
      </c>
      <c r="W10" s="128">
        <f t="shared" si="4"/>
        <v>-0.51480532786300648</v>
      </c>
      <c r="X10" s="2"/>
      <c r="Y10" s="16">
        <f t="shared" ref="Y10:AD10" si="11">SUM(Y6:Y9)</f>
        <v>-668.78159275203143</v>
      </c>
      <c r="Z10" s="16">
        <f t="shared" si="11"/>
        <v>1256.7815927520314</v>
      </c>
      <c r="AA10" s="16">
        <f t="shared" si="11"/>
        <v>500</v>
      </c>
      <c r="AB10" s="16">
        <f t="shared" si="11"/>
        <v>4590</v>
      </c>
      <c r="AC10" s="16">
        <f>SUM(AC6:AC9)</f>
        <v>3500.3283707111495</v>
      </c>
      <c r="AD10" s="16">
        <f t="shared" si="11"/>
        <v>4580.6716292888505</v>
      </c>
      <c r="AE10" s="16">
        <f t="shared" ref="AE10:AG10" si="12">SUM(AE6:AE9)</f>
        <v>2338</v>
      </c>
      <c r="AF10" s="16">
        <f t="shared" si="12"/>
        <v>3974</v>
      </c>
      <c r="AG10" s="16">
        <f t="shared" si="12"/>
        <v>27</v>
      </c>
      <c r="AH10" s="16">
        <f>SUM(AH6:AH9)</f>
        <v>-610</v>
      </c>
      <c r="AI10" s="16">
        <f>SUM(AI6:AI9)</f>
        <v>529</v>
      </c>
      <c r="AJ10" s="16">
        <f>SUM(AJ6:AJ9)</f>
        <v>2258</v>
      </c>
      <c r="AK10" s="16">
        <f>SUM(AK6:AK9)</f>
        <v>-393</v>
      </c>
      <c r="AL10" s="17">
        <f>SUM(AL6:AL9)</f>
        <v>385.68027667283604</v>
      </c>
    </row>
    <row r="11" spans="2:38" s="5" customFormat="1" ht="9" customHeight="1" x14ac:dyDescent="0.25">
      <c r="D11" s="10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9"/>
      <c r="X11" s="2"/>
      <c r="Y11" s="13"/>
      <c r="Z11" s="13"/>
      <c r="AA11" s="13"/>
      <c r="AB11" s="13"/>
      <c r="AC11" s="13"/>
      <c r="AD11" s="13"/>
      <c r="AE11" s="13"/>
      <c r="AF11" s="13"/>
    </row>
    <row r="12" spans="2:38" s="5" customFormat="1" x14ac:dyDescent="0.25"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2" t="s">
        <v>29</v>
      </c>
      <c r="X12" s="2"/>
      <c r="Y12" s="21"/>
      <c r="Z12" s="21"/>
      <c r="AA12" s="21"/>
      <c r="AB12" s="21"/>
      <c r="AC12" s="21"/>
      <c r="AD12" s="21"/>
      <c r="AE12" s="21"/>
      <c r="AF12" s="21"/>
      <c r="AK12" s="22"/>
      <c r="AL12" s="22" t="s">
        <v>29</v>
      </c>
    </row>
    <row r="13" spans="2:38" s="5" customFormat="1" x14ac:dyDescent="0.25"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"/>
      <c r="Y13" s="21"/>
      <c r="Z13" s="21"/>
      <c r="AA13" s="21"/>
      <c r="AB13" s="21"/>
      <c r="AC13" s="21"/>
      <c r="AD13" s="21"/>
      <c r="AE13" s="21"/>
      <c r="AF13" s="21"/>
    </row>
    <row r="14" spans="2:38" s="5" customFormat="1" x14ac:dyDescent="0.25">
      <c r="D14" s="10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9"/>
      <c r="X14" s="2"/>
      <c r="Y14" s="13"/>
      <c r="Z14" s="13"/>
      <c r="AA14" s="13"/>
      <c r="AB14" s="13"/>
      <c r="AC14" s="13"/>
      <c r="AD14" s="13"/>
      <c r="AE14" s="13"/>
      <c r="AF14" s="13"/>
    </row>
    <row r="15" spans="2:38" s="5" customFormat="1" ht="15.75" thickBot="1" x14ac:dyDescent="0.3">
      <c r="D15" s="6"/>
      <c r="E15" s="7" t="s">
        <v>6</v>
      </c>
      <c r="F15" s="7" t="s">
        <v>115</v>
      </c>
      <c r="G15" s="7" t="s">
        <v>3</v>
      </c>
      <c r="H15" s="7" t="s">
        <v>116</v>
      </c>
      <c r="I15" s="7" t="s">
        <v>117</v>
      </c>
      <c r="J15" s="7" t="s">
        <v>4</v>
      </c>
      <c r="K15" s="7" t="s">
        <v>118</v>
      </c>
      <c r="L15" s="7" t="s">
        <v>119</v>
      </c>
      <c r="M15" s="7" t="s">
        <v>120</v>
      </c>
      <c r="N15" s="7" t="s">
        <v>14</v>
      </c>
      <c r="O15" s="7" t="s">
        <v>121</v>
      </c>
      <c r="P15" s="7" t="s">
        <v>122</v>
      </c>
      <c r="Q15" s="7" t="s">
        <v>123</v>
      </c>
      <c r="R15" s="7" t="s">
        <v>16</v>
      </c>
      <c r="S15" s="7" t="s">
        <v>17</v>
      </c>
      <c r="T15" s="7" t="s">
        <v>88</v>
      </c>
      <c r="U15" s="7" t="s">
        <v>92</v>
      </c>
      <c r="V15" s="8" t="s">
        <v>95</v>
      </c>
      <c r="W15" s="23" t="s">
        <v>2</v>
      </c>
      <c r="X15" s="2"/>
      <c r="Y15" s="7" t="s">
        <v>124</v>
      </c>
      <c r="Z15" s="7" t="s">
        <v>125</v>
      </c>
      <c r="AA15" s="7" t="s">
        <v>126</v>
      </c>
      <c r="AB15" s="7" t="s">
        <v>127</v>
      </c>
      <c r="AC15" s="7" t="s">
        <v>128</v>
      </c>
      <c r="AD15" s="7" t="s">
        <v>129</v>
      </c>
      <c r="AE15" s="7" t="s">
        <v>130</v>
      </c>
      <c r="AF15" s="7" t="s">
        <v>131</v>
      </c>
      <c r="AG15" s="7" t="s">
        <v>132</v>
      </c>
      <c r="AH15" s="7" t="s">
        <v>133</v>
      </c>
      <c r="AI15" s="7" t="s">
        <v>41</v>
      </c>
      <c r="AJ15" s="7" t="s">
        <v>89</v>
      </c>
      <c r="AK15" s="7" t="s">
        <v>93</v>
      </c>
      <c r="AL15" s="8" t="s">
        <v>94</v>
      </c>
    </row>
    <row r="16" spans="2:38" s="5" customFormat="1" x14ac:dyDescent="0.25">
      <c r="D16" s="12" t="s">
        <v>39</v>
      </c>
      <c r="E16" s="19">
        <f>-E7/E6</f>
        <v>0.52177347791268969</v>
      </c>
      <c r="F16" s="19">
        <f t="shared" ref="F16" si="13">-F7/F6</f>
        <v>0.52254440468725705</v>
      </c>
      <c r="G16" s="19">
        <f>-G7/G6</f>
        <v>0.51760179232417691</v>
      </c>
      <c r="H16" s="19">
        <f t="shared" ref="H16:Q16" si="14">-H7/H6</f>
        <v>0.52299019969051652</v>
      </c>
      <c r="I16" s="19">
        <f t="shared" si="14"/>
        <v>0.55707220496621823</v>
      </c>
      <c r="J16" s="19">
        <f t="shared" si="14"/>
        <v>0.57086762411919745</v>
      </c>
      <c r="K16" s="19">
        <f t="shared" si="14"/>
        <v>0.63701872867785281</v>
      </c>
      <c r="L16" s="19">
        <f t="shared" si="14"/>
        <v>0.57482034178042152</v>
      </c>
      <c r="M16" s="19">
        <f t="shared" si="14"/>
        <v>0.56376616824846848</v>
      </c>
      <c r="N16" s="19">
        <f t="shared" si="14"/>
        <v>0.5543349542694449</v>
      </c>
      <c r="O16" s="19">
        <f t="shared" si="14"/>
        <v>0.59882817557943802</v>
      </c>
      <c r="P16" s="19">
        <f t="shared" si="14"/>
        <v>0.57414195268243917</v>
      </c>
      <c r="Q16" s="19">
        <f t="shared" si="14"/>
        <v>0.61238336692919926</v>
      </c>
      <c r="R16" s="19">
        <f>-R7/R6</f>
        <v>0.63051333215201966</v>
      </c>
      <c r="S16" s="19">
        <f>-S7/S6</f>
        <v>0.71872912612900419</v>
      </c>
      <c r="T16" s="19">
        <f>-T7/T6</f>
        <v>0.66120187282541776</v>
      </c>
      <c r="U16" s="19">
        <f>-U7/U6</f>
        <v>0.68120012103332195</v>
      </c>
      <c r="V16" s="24">
        <f>-V7/V6</f>
        <v>0.68552057020178836</v>
      </c>
      <c r="W16" s="25">
        <f>(V16-R16)*100</f>
        <v>5.5007238049768699</v>
      </c>
      <c r="X16" s="2"/>
      <c r="Y16" s="19">
        <f t="shared" ref="Y16" si="15">-Y7/Y6</f>
        <v>0.62249080034863247</v>
      </c>
      <c r="Z16" s="19">
        <f>-Z7/Z6</f>
        <v>0.61017000343536143</v>
      </c>
      <c r="AA16" s="19">
        <f t="shared" ref="AA16:AK16" si="16">-AA7/AA6</f>
        <v>0.63701872867785281</v>
      </c>
      <c r="AB16" s="19">
        <f t="shared" si="16"/>
        <v>0.51413043478260867</v>
      </c>
      <c r="AC16" s="19">
        <f t="shared" si="16"/>
        <v>0.5424206793289551</v>
      </c>
      <c r="AD16" s="19">
        <f t="shared" si="16"/>
        <v>0.527281537827338</v>
      </c>
      <c r="AE16" s="19">
        <f t="shared" si="16"/>
        <v>0.59882817557943802</v>
      </c>
      <c r="AF16" s="19">
        <f t="shared" si="16"/>
        <v>0.5504061751066015</v>
      </c>
      <c r="AG16" s="19">
        <f t="shared" si="16"/>
        <v>0.68492820806116617</v>
      </c>
      <c r="AH16" s="19">
        <f t="shared" si="16"/>
        <v>0.68251035551449768</v>
      </c>
      <c r="AI16" s="19">
        <f t="shared" si="16"/>
        <v>0.71872912612900419</v>
      </c>
      <c r="AJ16" s="19">
        <f t="shared" si="16"/>
        <v>0.60525869859918657</v>
      </c>
      <c r="AK16" s="19">
        <f t="shared" si="16"/>
        <v>0.7200890992621467</v>
      </c>
      <c r="AL16" s="24">
        <f t="shared" ref="AL16" si="17">-AL7/AL6</f>
        <v>0.69814234785251439</v>
      </c>
    </row>
    <row r="17" spans="4:38" s="5" customFormat="1" ht="15.75" thickBot="1" x14ac:dyDescent="0.3">
      <c r="D17" s="12" t="s">
        <v>40</v>
      </c>
      <c r="E17" s="19">
        <f>-(E8+E9)/E6</f>
        <v>0.38414172239897842</v>
      </c>
      <c r="F17" s="19">
        <f t="shared" ref="F17" si="18">-(F8+F9)/F6</f>
        <v>0.36400403948880483</v>
      </c>
      <c r="G17" s="19">
        <f>-(G8+G9)/G6</f>
        <v>0.36212741087083578</v>
      </c>
      <c r="H17" s="19">
        <f t="shared" ref="H17:Q17" si="19">-(H8+H9)/H6</f>
        <v>0.36471151720580652</v>
      </c>
      <c r="I17" s="19">
        <f t="shared" si="19"/>
        <v>0.37719517093962135</v>
      </c>
      <c r="J17" s="19">
        <f t="shared" si="19"/>
        <v>0.36921090850411492</v>
      </c>
      <c r="K17" s="19">
        <f t="shared" si="19"/>
        <v>0.34557543688644432</v>
      </c>
      <c r="L17" s="19">
        <f t="shared" si="19"/>
        <v>0.33767149193687035</v>
      </c>
      <c r="M17" s="19">
        <f t="shared" si="19"/>
        <v>0.33893532223017464</v>
      </c>
      <c r="N17" s="19">
        <f t="shared" si="19"/>
        <v>0.33504665440466291</v>
      </c>
      <c r="O17" s="19">
        <f t="shared" si="19"/>
        <v>0.32548879968923994</v>
      </c>
      <c r="P17" s="19">
        <f t="shared" si="19"/>
        <v>0.32570095682391581</v>
      </c>
      <c r="Q17" s="19">
        <f t="shared" si="19"/>
        <v>0.32175141829970283</v>
      </c>
      <c r="R17" s="19">
        <f>-(R8+R9)/R6</f>
        <v>0.32534919375341875</v>
      </c>
      <c r="S17" s="19">
        <f>-(S8+S9)/S6</f>
        <v>0.26590770481805243</v>
      </c>
      <c r="T17" s="19">
        <f>-(T8+T9)/T6</f>
        <v>0.29889320026918287</v>
      </c>
      <c r="U17" s="19">
        <f>-(U8+U9)/U6</f>
        <v>0.29616286546389803</v>
      </c>
      <c r="V17" s="24">
        <f>-(V8+V9)/V6</f>
        <v>0.29489820456551741</v>
      </c>
      <c r="W17" s="25">
        <f t="shared" ref="W17:W18" si="20">(V17-R17)*100</f>
        <v>-3.0450989187901345</v>
      </c>
      <c r="X17" s="2"/>
      <c r="Y17" s="19">
        <f t="shared" ref="Y17" si="21">-(Y8+Y9)/Y6</f>
        <v>0.40115687993826482</v>
      </c>
      <c r="Z17" s="19">
        <f>-(Z8+Z9)/Z6</f>
        <v>0.34646419038556425</v>
      </c>
      <c r="AA17" s="19">
        <f t="shared" ref="AA17:AK17" si="22">-(AA8+AA9)/AA6</f>
        <v>0.34557543688644432</v>
      </c>
      <c r="AB17" s="19">
        <f t="shared" si="22"/>
        <v>0.32995923913043479</v>
      </c>
      <c r="AC17" s="19">
        <f t="shared" si="22"/>
        <v>0.34137576478735854</v>
      </c>
      <c r="AD17" s="19">
        <f t="shared" si="22"/>
        <v>0.32389201934680334</v>
      </c>
      <c r="AE17" s="19">
        <f t="shared" si="22"/>
        <v>0.32548879968923994</v>
      </c>
      <c r="AF17" s="19">
        <f t="shared" si="22"/>
        <v>0.32590494568769646</v>
      </c>
      <c r="AG17" s="19">
        <f t="shared" si="22"/>
        <v>0.3142590530086391</v>
      </c>
      <c r="AH17" s="19">
        <f t="shared" si="22"/>
        <v>0.3356676699347379</v>
      </c>
      <c r="AI17" s="19">
        <f t="shared" si="22"/>
        <v>0.26590770481805243</v>
      </c>
      <c r="AJ17" s="19">
        <f t="shared" si="22"/>
        <v>0.33097040216900137</v>
      </c>
      <c r="AK17" s="19">
        <f t="shared" si="22"/>
        <v>0.29085340387024922</v>
      </c>
      <c r="AL17" s="24">
        <f t="shared" ref="AL17" si="23">-(AL8+AL9)/AL6</f>
        <v>0.29120361910911818</v>
      </c>
    </row>
    <row r="18" spans="4:38" s="5" customFormat="1" ht="15.75" thickBot="1" x14ac:dyDescent="0.3">
      <c r="D18" s="15" t="s">
        <v>36</v>
      </c>
      <c r="E18" s="26">
        <f>-(E7+E8+E9)/E6</f>
        <v>0.90591520031166806</v>
      </c>
      <c r="F18" s="26">
        <f t="shared" ref="F18" si="24">-(F7+F8+F9)/F6</f>
        <v>0.88654844417606171</v>
      </c>
      <c r="G18" s="26">
        <f>-(G7+G8+G9)/G6</f>
        <v>0.87972920319501269</v>
      </c>
      <c r="H18" s="26">
        <f t="shared" ref="H18:Q18" si="25">-(H7+H8+H9)/H6</f>
        <v>0.88770171689632305</v>
      </c>
      <c r="I18" s="26">
        <f t="shared" si="25"/>
        <v>0.93426737590583953</v>
      </c>
      <c r="J18" s="26">
        <f t="shared" si="25"/>
        <v>0.94007853262331231</v>
      </c>
      <c r="K18" s="26">
        <f t="shared" si="25"/>
        <v>0.98259416556429713</v>
      </c>
      <c r="L18" s="26">
        <f t="shared" si="25"/>
        <v>0.91249183371729192</v>
      </c>
      <c r="M18" s="26">
        <f t="shared" si="25"/>
        <v>0.90270149047864334</v>
      </c>
      <c r="N18" s="26">
        <f t="shared" si="25"/>
        <v>0.88938160867410787</v>
      </c>
      <c r="O18" s="26">
        <f t="shared" si="25"/>
        <v>0.92431697526867795</v>
      </c>
      <c r="P18" s="26">
        <f t="shared" si="25"/>
        <v>0.89984290950635504</v>
      </c>
      <c r="Q18" s="26">
        <f t="shared" si="25"/>
        <v>0.93413478522890214</v>
      </c>
      <c r="R18" s="26">
        <f>-(R7+R8+R9)/R6</f>
        <v>0.95586252590543841</v>
      </c>
      <c r="S18" s="26">
        <f>-(S7+S8+S9)/S6</f>
        <v>0.98463683094705656</v>
      </c>
      <c r="T18" s="26">
        <f>-(T7+T8+T9)/T6</f>
        <v>0.96009507309460063</v>
      </c>
      <c r="U18" s="26">
        <f>-(U7+U8+U9)/U6</f>
        <v>0.97736298649721998</v>
      </c>
      <c r="V18" s="27">
        <f>-(V7+V8+V9)/V6</f>
        <v>0.98041877476730566</v>
      </c>
      <c r="W18" s="28">
        <f t="shared" si="20"/>
        <v>2.4556248861867247</v>
      </c>
      <c r="X18" s="2"/>
      <c r="Y18" s="26">
        <f t="shared" ref="Y18" si="26">-(Y7+Y8+Y9)/Y6</f>
        <v>1.0236476802868972</v>
      </c>
      <c r="Z18" s="26">
        <f>-(Z7+Z8+Z9)/Z6</f>
        <v>0.95663419382092563</v>
      </c>
      <c r="AA18" s="26">
        <f t="shared" ref="AA18:AK18" si="27">-(AA7+AA8+AA9)/AA6</f>
        <v>0.98259416556429713</v>
      </c>
      <c r="AB18" s="26">
        <f t="shared" si="27"/>
        <v>0.84408967391304346</v>
      </c>
      <c r="AC18" s="26">
        <f t="shared" si="27"/>
        <v>0.88379644411631353</v>
      </c>
      <c r="AD18" s="26">
        <f t="shared" si="27"/>
        <v>0.85117355717414145</v>
      </c>
      <c r="AE18" s="26">
        <f t="shared" si="27"/>
        <v>0.92431697526867795</v>
      </c>
      <c r="AF18" s="26">
        <f t="shared" si="27"/>
        <v>0.87631112079429796</v>
      </c>
      <c r="AG18" s="26">
        <f t="shared" si="27"/>
        <v>0.99918726106980527</v>
      </c>
      <c r="AH18" s="26">
        <f t="shared" si="27"/>
        <v>1.0181780254492356</v>
      </c>
      <c r="AI18" s="26">
        <f t="shared" si="27"/>
        <v>0.98463683094705656</v>
      </c>
      <c r="AJ18" s="26">
        <f t="shared" si="27"/>
        <v>0.93622910076818799</v>
      </c>
      <c r="AK18" s="26">
        <f t="shared" si="27"/>
        <v>1.010942503132396</v>
      </c>
      <c r="AL18" s="27">
        <f t="shared" ref="AL18" si="28">-(AL7+AL8+AL9)/AL6</f>
        <v>0.98934596696163257</v>
      </c>
    </row>
    <row r="19" spans="4:38" s="5" customFormat="1" x14ac:dyDescent="0.25">
      <c r="D19" s="1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129"/>
      <c r="T19" s="129"/>
      <c r="U19" s="129"/>
      <c r="V19" s="129"/>
      <c r="W19" s="52"/>
      <c r="X19" s="13"/>
    </row>
    <row r="20" spans="4:38" s="5" customFormat="1" x14ac:dyDescent="0.25">
      <c r="S20" s="130"/>
      <c r="T20" s="130"/>
      <c r="U20" s="130"/>
      <c r="V20" s="130"/>
      <c r="W20" s="123"/>
      <c r="X20" s="21"/>
    </row>
  </sheetData>
  <hyperlinks>
    <hyperlink ref="B2" location="'Suplemento Financiero&gt;&gt;&gt;'!A1" display="ÍNDICE" xr:uid="{1EAD5A7F-56A6-4052-9B09-DA9BA953AA13}"/>
  </hyperlinks>
  <pageMargins left="0.7" right="0.7" top="0.75" bottom="0.75" header="0.3" footer="0.3"/>
  <pageSetup paperSize="9" scale="71" orientation="landscape" r:id="rId1"/>
  <ignoredErrors>
    <ignoredError sqref="E10:U10" formulaRange="1"/>
    <ignoredError sqref="AA5:AJ1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L20"/>
  <sheetViews>
    <sheetView showGridLines="0" zoomScaleNormal="100" workbookViewId="0">
      <selection activeCell="B2" sqref="B2"/>
    </sheetView>
  </sheetViews>
  <sheetFormatPr baseColWidth="10" defaultColWidth="10.8554687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45.7109375" style="1" customWidth="1"/>
    <col min="5" max="5" width="11" style="1" customWidth="1"/>
    <col min="6" max="6" width="11" style="1" hidden="1" customWidth="1" outlineLevel="1"/>
    <col min="7" max="7" width="11" style="1" customWidth="1" collapsed="1"/>
    <col min="8" max="9" width="11" style="1" hidden="1" customWidth="1" outlineLevel="1"/>
    <col min="10" max="10" width="11" style="1" customWidth="1" collapsed="1"/>
    <col min="11" max="13" width="11" style="1" hidden="1" customWidth="1" outlineLevel="1"/>
    <col min="14" max="14" width="11" style="1" customWidth="1" collapsed="1"/>
    <col min="15" max="15" width="11" style="1" hidden="1" customWidth="1" outlineLevel="1"/>
    <col min="16" max="16" width="11" style="1" hidden="1" customWidth="1" outlineLevel="1" collapsed="1"/>
    <col min="17" max="17" width="11" style="1" hidden="1" customWidth="1" outlineLevel="1"/>
    <col min="18" max="18" width="11" style="1" customWidth="1" collapsed="1"/>
    <col min="19" max="21" width="11" style="1" hidden="1" customWidth="1" outlineLevel="1"/>
    <col min="22" max="22" width="11" style="1" customWidth="1" collapsed="1"/>
    <col min="23" max="23" width="11" style="1" customWidth="1"/>
    <col min="24" max="24" width="3" style="2" customWidth="1"/>
    <col min="25" max="16384" width="10.85546875" style="1"/>
  </cols>
  <sheetData>
    <row r="1" spans="2:38" ht="16.5" customHeight="1" x14ac:dyDescent="0.25"/>
    <row r="2" spans="2:38" ht="18.75" customHeight="1" thickBot="1" x14ac:dyDescent="0.3">
      <c r="B2" s="3" t="s">
        <v>27</v>
      </c>
      <c r="D2" s="4" t="s">
        <v>147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Y2" s="4" t="s">
        <v>34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4" spans="2:38" s="5" customFormat="1" ht="15.75" thickBot="1" x14ac:dyDescent="0.3">
      <c r="D4" s="6"/>
      <c r="E4" s="7" t="s">
        <v>6</v>
      </c>
      <c r="F4" s="7" t="s">
        <v>115</v>
      </c>
      <c r="G4" s="7" t="s">
        <v>3</v>
      </c>
      <c r="H4" s="7" t="s">
        <v>116</v>
      </c>
      <c r="I4" s="7" t="s">
        <v>117</v>
      </c>
      <c r="J4" s="7" t="s">
        <v>4</v>
      </c>
      <c r="K4" s="7" t="s">
        <v>118</v>
      </c>
      <c r="L4" s="7" t="s">
        <v>119</v>
      </c>
      <c r="M4" s="7" t="s">
        <v>120</v>
      </c>
      <c r="N4" s="7" t="s">
        <v>14</v>
      </c>
      <c r="O4" s="7" t="s">
        <v>121</v>
      </c>
      <c r="P4" s="7" t="s">
        <v>122</v>
      </c>
      <c r="Q4" s="7" t="s">
        <v>123</v>
      </c>
      <c r="R4" s="7" t="s">
        <v>16</v>
      </c>
      <c r="S4" s="7" t="s">
        <v>17</v>
      </c>
      <c r="T4" s="7" t="s">
        <v>88</v>
      </c>
      <c r="U4" s="7" t="s">
        <v>92</v>
      </c>
      <c r="V4" s="8" t="s">
        <v>95</v>
      </c>
      <c r="W4" s="131" t="s">
        <v>0</v>
      </c>
      <c r="X4" s="2"/>
      <c r="Y4" s="7" t="s">
        <v>124</v>
      </c>
      <c r="Z4" s="7" t="s">
        <v>125</v>
      </c>
      <c r="AA4" s="7" t="s">
        <v>126</v>
      </c>
      <c r="AB4" s="7" t="s">
        <v>127</v>
      </c>
      <c r="AC4" s="7" t="s">
        <v>128</v>
      </c>
      <c r="AD4" s="7" t="s">
        <v>129</v>
      </c>
      <c r="AE4" s="7" t="s">
        <v>130</v>
      </c>
      <c r="AF4" s="7" t="s">
        <v>131</v>
      </c>
      <c r="AG4" s="7" t="s">
        <v>132</v>
      </c>
      <c r="AH4" s="7" t="s">
        <v>133</v>
      </c>
      <c r="AI4" s="7" t="s">
        <v>41</v>
      </c>
      <c r="AJ4" s="7" t="s">
        <v>89</v>
      </c>
      <c r="AK4" s="7" t="s">
        <v>93</v>
      </c>
      <c r="AL4" s="8" t="s">
        <v>94</v>
      </c>
    </row>
    <row r="5" spans="2:38" s="5" customFormat="1" x14ac:dyDescent="0.25">
      <c r="D5" s="10" t="s">
        <v>96</v>
      </c>
      <c r="E5" s="29">
        <v>7518</v>
      </c>
      <c r="F5" s="29">
        <v>12243.391560000002</v>
      </c>
      <c r="G5" s="29">
        <v>15744</v>
      </c>
      <c r="H5" s="29">
        <v>13257.647209999999</v>
      </c>
      <c r="I5" s="29">
        <v>16876.646899999996</v>
      </c>
      <c r="J5" s="29">
        <v>21826</v>
      </c>
      <c r="K5" s="29">
        <v>12002</v>
      </c>
      <c r="L5" s="29">
        <v>16622</v>
      </c>
      <c r="M5" s="29">
        <v>20912.694649999998</v>
      </c>
      <c r="N5" s="29">
        <v>26449</v>
      </c>
      <c r="O5" s="29">
        <v>13760</v>
      </c>
      <c r="P5" s="29">
        <v>18848</v>
      </c>
      <c r="Q5" s="29">
        <v>23304</v>
      </c>
      <c r="R5" s="29">
        <v>29082</v>
      </c>
      <c r="S5" s="29">
        <v>14335</v>
      </c>
      <c r="T5" s="29">
        <v>19803</v>
      </c>
      <c r="U5" s="29">
        <v>24336</v>
      </c>
      <c r="V5" s="30">
        <v>30383.75071</v>
      </c>
      <c r="W5" s="11">
        <f t="shared" ref="W5:W9" si="0">+V5/R5-1</f>
        <v>4.4761388831579652E-2</v>
      </c>
      <c r="X5" s="2"/>
      <c r="Y5" s="29">
        <f>I5-H5</f>
        <v>3618.9996899999969</v>
      </c>
      <c r="Z5" s="29">
        <f>J5-I5</f>
        <v>4949.3531000000039</v>
      </c>
      <c r="AA5" s="29">
        <f>K5</f>
        <v>12002</v>
      </c>
      <c r="AB5" s="29">
        <f t="shared" ref="AB5:AD9" si="1">L5-K5</f>
        <v>4620</v>
      </c>
      <c r="AC5" s="29">
        <f t="shared" si="1"/>
        <v>4290.6946499999976</v>
      </c>
      <c r="AD5" s="29">
        <f t="shared" si="1"/>
        <v>5536.3053500000024</v>
      </c>
      <c r="AE5" s="29">
        <f t="shared" ref="AE5:AE8" si="2">O5</f>
        <v>13760</v>
      </c>
      <c r="AF5" s="29">
        <f t="shared" ref="AF5:AH9" si="3">P5-O5</f>
        <v>5088</v>
      </c>
      <c r="AG5" s="29">
        <f t="shared" si="3"/>
        <v>4456</v>
      </c>
      <c r="AH5" s="29">
        <f t="shared" si="3"/>
        <v>5778</v>
      </c>
      <c r="AI5" s="29">
        <f>S5</f>
        <v>14335</v>
      </c>
      <c r="AJ5" s="29">
        <f t="shared" ref="AJ5:AL9" si="4">T5-S5</f>
        <v>5468</v>
      </c>
      <c r="AK5" s="29">
        <f t="shared" si="4"/>
        <v>4533</v>
      </c>
      <c r="AL5" s="30">
        <f t="shared" si="4"/>
        <v>6047.7507100000003</v>
      </c>
    </row>
    <row r="6" spans="2:38" s="5" customFormat="1" x14ac:dyDescent="0.25">
      <c r="D6" s="10" t="s">
        <v>134</v>
      </c>
      <c r="E6" s="29">
        <v>2147</v>
      </c>
      <c r="F6" s="29">
        <v>4759.8379600000044</v>
      </c>
      <c r="G6" s="29">
        <v>748</v>
      </c>
      <c r="H6" s="29">
        <v>4885</v>
      </c>
      <c r="I6" s="29">
        <v>7577.615569999989</v>
      </c>
      <c r="J6" s="29">
        <v>12020</v>
      </c>
      <c r="K6" s="29">
        <v>3056</v>
      </c>
      <c r="L6" s="29">
        <v>6342</v>
      </c>
      <c r="M6" s="29">
        <v>9860.6312800000014</v>
      </c>
      <c r="N6" s="29">
        <v>14981</v>
      </c>
      <c r="O6" s="29">
        <v>3754</v>
      </c>
      <c r="P6" s="29">
        <v>7610</v>
      </c>
      <c r="Q6" s="29">
        <v>11576</v>
      </c>
      <c r="R6" s="29">
        <v>16505</v>
      </c>
      <c r="S6" s="29">
        <v>4002</v>
      </c>
      <c r="T6" s="29">
        <v>8062</v>
      </c>
      <c r="U6" s="29">
        <v>12204</v>
      </c>
      <c r="V6" s="30">
        <v>16105.018239999983</v>
      </c>
      <c r="W6" s="11">
        <f t="shared" si="0"/>
        <v>-2.4233975159043686E-2</v>
      </c>
      <c r="X6" s="2"/>
      <c r="Y6" s="29">
        <f>I6-H6</f>
        <v>2692.615569999989</v>
      </c>
      <c r="Z6" s="29">
        <f t="shared" ref="Z6:Z9" si="5">J6-I6</f>
        <v>4442.384430000011</v>
      </c>
      <c r="AA6" s="29">
        <f t="shared" ref="AA6:AA9" si="6">K6</f>
        <v>3056</v>
      </c>
      <c r="AB6" s="29">
        <f t="shared" si="1"/>
        <v>3286</v>
      </c>
      <c r="AC6" s="29">
        <f t="shared" si="1"/>
        <v>3518.6312800000014</v>
      </c>
      <c r="AD6" s="29">
        <f t="shared" si="1"/>
        <v>5120.3687199999986</v>
      </c>
      <c r="AE6" s="29">
        <f t="shared" si="2"/>
        <v>3754</v>
      </c>
      <c r="AF6" s="29">
        <f t="shared" si="3"/>
        <v>3856</v>
      </c>
      <c r="AG6" s="29">
        <f t="shared" si="3"/>
        <v>3966</v>
      </c>
      <c r="AH6" s="29">
        <f t="shared" si="3"/>
        <v>4929</v>
      </c>
      <c r="AI6" s="29">
        <f t="shared" ref="AI6:AI9" si="7">S6</f>
        <v>4002</v>
      </c>
      <c r="AJ6" s="29">
        <f t="shared" si="4"/>
        <v>4060</v>
      </c>
      <c r="AK6" s="29">
        <f t="shared" si="4"/>
        <v>4142</v>
      </c>
      <c r="AL6" s="30">
        <f t="shared" si="4"/>
        <v>3901.0182399999831</v>
      </c>
    </row>
    <row r="7" spans="2:38" s="5" customFormat="1" x14ac:dyDescent="0.25">
      <c r="D7" s="12" t="s">
        <v>37</v>
      </c>
      <c r="E7" s="31">
        <v>-2866</v>
      </c>
      <c r="F7" s="31">
        <v>-5492.4931738313571</v>
      </c>
      <c r="G7" s="31">
        <v>-7856</v>
      </c>
      <c r="H7" s="31">
        <v>-5258</v>
      </c>
      <c r="I7" s="31">
        <v>-7858.8337416389977</v>
      </c>
      <c r="J7" s="31">
        <v>-10712</v>
      </c>
      <c r="K7" s="31">
        <v>-3153</v>
      </c>
      <c r="L7" s="31">
        <v>-6678</v>
      </c>
      <c r="M7" s="31">
        <v>-9731.433319279995</v>
      </c>
      <c r="N7" s="31">
        <v>-12951</v>
      </c>
      <c r="O7" s="31">
        <v>-3799</v>
      </c>
      <c r="P7" s="31">
        <v>-7530</v>
      </c>
      <c r="Q7" s="31">
        <v>-10535</v>
      </c>
      <c r="R7" s="31">
        <v>-14321</v>
      </c>
      <c r="S7" s="31">
        <v>-3806</v>
      </c>
      <c r="T7" s="31">
        <v>-7551</v>
      </c>
      <c r="U7" s="31">
        <v>-10775</v>
      </c>
      <c r="V7" s="32">
        <v>-14456.609344036975</v>
      </c>
      <c r="W7" s="14">
        <f t="shared" si="0"/>
        <v>9.4692649980430144E-3</v>
      </c>
      <c r="X7" s="2"/>
      <c r="Y7" s="31">
        <f>I7-H7</f>
        <v>-2600.8337416389977</v>
      </c>
      <c r="Z7" s="31">
        <f t="shared" si="5"/>
        <v>-2853.1662583610023</v>
      </c>
      <c r="AA7" s="31">
        <f t="shared" si="6"/>
        <v>-3153</v>
      </c>
      <c r="AB7" s="31">
        <f t="shared" si="1"/>
        <v>-3525</v>
      </c>
      <c r="AC7" s="31">
        <f t="shared" si="1"/>
        <v>-3053.433319279995</v>
      </c>
      <c r="AD7" s="31">
        <f t="shared" si="1"/>
        <v>-3219.566680720005</v>
      </c>
      <c r="AE7" s="31">
        <f t="shared" si="2"/>
        <v>-3799</v>
      </c>
      <c r="AF7" s="31">
        <f t="shared" si="3"/>
        <v>-3731</v>
      </c>
      <c r="AG7" s="31">
        <f t="shared" si="3"/>
        <v>-3005</v>
      </c>
      <c r="AH7" s="31">
        <f t="shared" si="3"/>
        <v>-3786</v>
      </c>
      <c r="AI7" s="31">
        <f t="shared" si="7"/>
        <v>-3806</v>
      </c>
      <c r="AJ7" s="31">
        <f t="shared" si="4"/>
        <v>-3745</v>
      </c>
      <c r="AK7" s="31">
        <f t="shared" si="4"/>
        <v>-3224</v>
      </c>
      <c r="AL7" s="32">
        <f t="shared" si="4"/>
        <v>-3681.609344036975</v>
      </c>
    </row>
    <row r="8" spans="2:38" s="5" customFormat="1" x14ac:dyDescent="0.25">
      <c r="D8" s="12" t="s">
        <v>38</v>
      </c>
      <c r="E8" s="31">
        <v>-6083</v>
      </c>
      <c r="F8" s="31">
        <v>-5317.2468838576415</v>
      </c>
      <c r="G8" s="31">
        <v>-9085</v>
      </c>
      <c r="H8" s="31">
        <v>-2166</v>
      </c>
      <c r="I8" s="31">
        <v>-4556.8115809177998</v>
      </c>
      <c r="J8" s="31">
        <v>-8920</v>
      </c>
      <c r="K8" s="31">
        <v>-4</v>
      </c>
      <c r="L8" s="31">
        <v>-2567</v>
      </c>
      <c r="M8" s="31">
        <v>-5210.2223628648017</v>
      </c>
      <c r="N8" s="31">
        <v>-9147</v>
      </c>
      <c r="O8" s="31">
        <v>181</v>
      </c>
      <c r="P8" s="31">
        <v>-2330</v>
      </c>
      <c r="Q8" s="31">
        <v>-5563</v>
      </c>
      <c r="R8" s="31">
        <v>-9327</v>
      </c>
      <c r="S8" s="31">
        <v>-2581</v>
      </c>
      <c r="T8" s="31">
        <v>-5169</v>
      </c>
      <c r="U8" s="31">
        <v>-8540</v>
      </c>
      <c r="V8" s="32">
        <v>-12635.046254760802</v>
      </c>
      <c r="W8" s="14">
        <f t="shared" si="0"/>
        <v>0.3546741990737432</v>
      </c>
      <c r="X8" s="2"/>
      <c r="Y8" s="31">
        <f>I8-H8</f>
        <v>-2390.8115809177998</v>
      </c>
      <c r="Z8" s="31">
        <f t="shared" si="5"/>
        <v>-4363.1884190822002</v>
      </c>
      <c r="AA8" s="31">
        <f t="shared" si="6"/>
        <v>-4</v>
      </c>
      <c r="AB8" s="31">
        <f t="shared" si="1"/>
        <v>-2563</v>
      </c>
      <c r="AC8" s="31">
        <f t="shared" si="1"/>
        <v>-2643.2223628648017</v>
      </c>
      <c r="AD8" s="31">
        <f t="shared" si="1"/>
        <v>-3936.7776371351983</v>
      </c>
      <c r="AE8" s="31">
        <f t="shared" si="2"/>
        <v>181</v>
      </c>
      <c r="AF8" s="31">
        <f t="shared" si="3"/>
        <v>-2511</v>
      </c>
      <c r="AG8" s="31">
        <f t="shared" si="3"/>
        <v>-3233</v>
      </c>
      <c r="AH8" s="31">
        <f t="shared" si="3"/>
        <v>-3764</v>
      </c>
      <c r="AI8" s="31">
        <f t="shared" si="7"/>
        <v>-2581</v>
      </c>
      <c r="AJ8" s="31">
        <f t="shared" si="4"/>
        <v>-2588</v>
      </c>
      <c r="AK8" s="31">
        <f t="shared" si="4"/>
        <v>-3371</v>
      </c>
      <c r="AL8" s="32">
        <f t="shared" si="4"/>
        <v>-4095.0462547608022</v>
      </c>
    </row>
    <row r="9" spans="2:38" s="5" customFormat="1" ht="15.75" thickBot="1" x14ac:dyDescent="0.3">
      <c r="D9" s="12" t="s">
        <v>135</v>
      </c>
      <c r="E9" s="31">
        <v>-240</v>
      </c>
      <c r="F9" s="31">
        <v>-180</v>
      </c>
      <c r="G9" s="31">
        <v>-153</v>
      </c>
      <c r="H9" s="31">
        <v>-121</v>
      </c>
      <c r="I9" s="31">
        <v>-199.06700000000001</v>
      </c>
      <c r="J9" s="31">
        <v>-278</v>
      </c>
      <c r="K9" s="31">
        <v>-60</v>
      </c>
      <c r="L9" s="31">
        <v>-103</v>
      </c>
      <c r="M9" s="31">
        <v>-128.2534</v>
      </c>
      <c r="N9" s="31">
        <v>-93</v>
      </c>
      <c r="O9" s="31">
        <v>-61</v>
      </c>
      <c r="P9" s="31">
        <v>-121</v>
      </c>
      <c r="Q9" s="31">
        <v>-182</v>
      </c>
      <c r="R9" s="31">
        <v>-243</v>
      </c>
      <c r="S9" s="31">
        <v>-1</v>
      </c>
      <c r="T9" s="31">
        <v>-1</v>
      </c>
      <c r="U9" s="31">
        <v>-2</v>
      </c>
      <c r="V9" s="32">
        <v>-3.1413500000000001</v>
      </c>
      <c r="W9" s="14">
        <f t="shared" si="0"/>
        <v>-0.98707263374485599</v>
      </c>
      <c r="X9" s="2"/>
      <c r="Y9" s="31">
        <f>I9-H9</f>
        <v>-78.067000000000007</v>
      </c>
      <c r="Z9" s="31">
        <f t="shared" si="5"/>
        <v>-78.932999999999993</v>
      </c>
      <c r="AA9" s="31">
        <f t="shared" si="6"/>
        <v>-60</v>
      </c>
      <c r="AB9" s="31">
        <f t="shared" si="1"/>
        <v>-43</v>
      </c>
      <c r="AC9" s="31">
        <f t="shared" si="1"/>
        <v>-25.253399999999999</v>
      </c>
      <c r="AD9" s="31">
        <f t="shared" si="1"/>
        <v>35.253399999999999</v>
      </c>
      <c r="AE9" s="31">
        <f>O9</f>
        <v>-61</v>
      </c>
      <c r="AF9" s="31">
        <f t="shared" si="3"/>
        <v>-60</v>
      </c>
      <c r="AG9" s="31">
        <f t="shared" si="3"/>
        <v>-61</v>
      </c>
      <c r="AH9" s="31">
        <f t="shared" si="3"/>
        <v>-61</v>
      </c>
      <c r="AI9" s="31">
        <f t="shared" si="7"/>
        <v>-1</v>
      </c>
      <c r="AJ9" s="31">
        <f t="shared" si="4"/>
        <v>0</v>
      </c>
      <c r="AK9" s="31">
        <f t="shared" si="4"/>
        <v>-1</v>
      </c>
      <c r="AL9" s="32">
        <f t="shared" si="4"/>
        <v>-1.1413500000000001</v>
      </c>
    </row>
    <row r="10" spans="2:38" s="5" customFormat="1" ht="15.75" thickBot="1" x14ac:dyDescent="0.3">
      <c r="D10" s="15" t="s">
        <v>35</v>
      </c>
      <c r="E10" s="16">
        <f>SUM(E6:E9)</f>
        <v>-7042</v>
      </c>
      <c r="F10" s="16">
        <f>SUM(F6:F9)</f>
        <v>-6229.9020976889942</v>
      </c>
      <c r="G10" s="16">
        <f>SUM(G6:G9)</f>
        <v>-16346</v>
      </c>
      <c r="H10" s="16">
        <f t="shared" ref="H10:Q10" si="8">SUM(H6:H9)</f>
        <v>-2660</v>
      </c>
      <c r="I10" s="16">
        <f t="shared" si="8"/>
        <v>-5037.0967525568085</v>
      </c>
      <c r="J10" s="16">
        <f t="shared" si="8"/>
        <v>-7890</v>
      </c>
      <c r="K10" s="16">
        <f t="shared" si="8"/>
        <v>-161</v>
      </c>
      <c r="L10" s="16">
        <f t="shared" si="8"/>
        <v>-3006</v>
      </c>
      <c r="M10" s="16">
        <f t="shared" si="8"/>
        <v>-5209.2778021447948</v>
      </c>
      <c r="N10" s="16">
        <f t="shared" si="8"/>
        <v>-7210</v>
      </c>
      <c r="O10" s="16">
        <f t="shared" si="8"/>
        <v>75</v>
      </c>
      <c r="P10" s="16">
        <f t="shared" si="8"/>
        <v>-2371</v>
      </c>
      <c r="Q10" s="16">
        <f t="shared" si="8"/>
        <v>-4704</v>
      </c>
      <c r="R10" s="16">
        <f>SUM(R6:R9)</f>
        <v>-7386</v>
      </c>
      <c r="S10" s="16">
        <f>SUM(S6:S9)</f>
        <v>-2386</v>
      </c>
      <c r="T10" s="16">
        <f>SUM(T6:T9)</f>
        <v>-4659</v>
      </c>
      <c r="U10" s="16">
        <f>SUM(U6:U9)</f>
        <v>-7113</v>
      </c>
      <c r="V10" s="17">
        <f>SUM(V6:V9)</f>
        <v>-10989.778708797794</v>
      </c>
      <c r="W10" s="128">
        <f>+V10/R10-1</f>
        <v>0.48792021510936823</v>
      </c>
      <c r="X10" s="2"/>
      <c r="Y10" s="16">
        <f t="shared" ref="Y10:AG10" si="9">SUM(Y6:Y9)</f>
        <v>-2377.0967525568085</v>
      </c>
      <c r="Z10" s="16">
        <f t="shared" si="9"/>
        <v>-2852.9032474431915</v>
      </c>
      <c r="AA10" s="16">
        <f t="shared" si="9"/>
        <v>-161</v>
      </c>
      <c r="AB10" s="16">
        <f t="shared" si="9"/>
        <v>-2845</v>
      </c>
      <c r="AC10" s="16">
        <f>SUM(AC6:AC9)</f>
        <v>-2203.2778021447953</v>
      </c>
      <c r="AD10" s="16">
        <f t="shared" si="9"/>
        <v>-2000.7221978552047</v>
      </c>
      <c r="AE10" s="16">
        <f t="shared" si="9"/>
        <v>75</v>
      </c>
      <c r="AF10" s="16">
        <f t="shared" si="9"/>
        <v>-2446</v>
      </c>
      <c r="AG10" s="16">
        <f t="shared" si="9"/>
        <v>-2333</v>
      </c>
      <c r="AH10" s="16">
        <f>SUM(AH6:AH9)</f>
        <v>-2682</v>
      </c>
      <c r="AI10" s="16">
        <f>SUM(AI6:AI9)</f>
        <v>-2386</v>
      </c>
      <c r="AJ10" s="16">
        <f>SUM(AJ6:AJ9)</f>
        <v>-2273</v>
      </c>
      <c r="AK10" s="16">
        <f>SUM(AK6:AK9)</f>
        <v>-2454</v>
      </c>
      <c r="AL10" s="17">
        <f>SUM(AL6:AL9)</f>
        <v>-3876.778708797794</v>
      </c>
    </row>
    <row r="11" spans="2:38" s="5" customFormat="1" ht="9" customHeight="1" x14ac:dyDescent="0.25">
      <c r="D11" s="1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13"/>
      <c r="R11" s="13"/>
      <c r="S11" s="13"/>
      <c r="T11" s="13"/>
      <c r="U11" s="13"/>
      <c r="V11" s="13"/>
      <c r="W11" s="52"/>
      <c r="X11" s="2"/>
      <c r="Y11" s="51"/>
      <c r="Z11" s="51"/>
      <c r="AA11" s="51"/>
      <c r="AB11" s="51"/>
      <c r="AC11" s="51"/>
      <c r="AD11" s="51"/>
      <c r="AE11" s="51"/>
      <c r="AF11" s="51"/>
    </row>
    <row r="12" spans="2:38" s="5" customFormat="1" x14ac:dyDescent="0.25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1"/>
      <c r="S12" s="21"/>
      <c r="T12" s="21"/>
      <c r="U12" s="21"/>
      <c r="V12" s="21"/>
      <c r="W12" s="22" t="s">
        <v>29</v>
      </c>
      <c r="X12" s="2"/>
      <c r="Y12" s="20"/>
      <c r="Z12" s="20"/>
      <c r="AA12" s="20"/>
      <c r="AB12" s="20"/>
      <c r="AC12" s="20"/>
      <c r="AD12" s="20"/>
      <c r="AE12" s="20"/>
      <c r="AF12" s="20"/>
      <c r="AI12" s="22"/>
      <c r="AK12" s="22"/>
      <c r="AL12" s="22" t="s">
        <v>29</v>
      </c>
    </row>
    <row r="13" spans="2:38" s="5" customFormat="1" x14ac:dyDescent="0.25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21"/>
      <c r="S13" s="21"/>
      <c r="T13" s="21"/>
      <c r="U13" s="21"/>
      <c r="V13" s="21"/>
      <c r="W13" s="20"/>
      <c r="X13" s="2"/>
      <c r="Y13" s="20"/>
      <c r="Z13" s="20"/>
      <c r="AA13" s="20"/>
      <c r="AB13" s="20"/>
      <c r="AC13" s="20"/>
      <c r="AD13" s="20"/>
      <c r="AE13" s="20"/>
      <c r="AF13" s="20"/>
    </row>
    <row r="14" spans="2:38" s="5" customFormat="1" x14ac:dyDescent="0.25">
      <c r="D14" s="1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13"/>
      <c r="R14" s="13"/>
      <c r="S14" s="13"/>
      <c r="T14" s="13"/>
      <c r="U14" s="13"/>
      <c r="V14" s="13"/>
      <c r="W14" s="52"/>
      <c r="X14" s="2"/>
      <c r="Y14" s="51"/>
      <c r="Z14" s="51"/>
      <c r="AA14" s="51"/>
      <c r="AB14" s="51"/>
      <c r="AC14" s="51"/>
      <c r="AD14" s="51"/>
      <c r="AE14" s="51"/>
      <c r="AF14" s="51"/>
    </row>
    <row r="15" spans="2:38" s="5" customFormat="1" ht="15.75" thickBot="1" x14ac:dyDescent="0.3">
      <c r="D15" s="6"/>
      <c r="E15" s="7" t="s">
        <v>6</v>
      </c>
      <c r="F15" s="7" t="s">
        <v>115</v>
      </c>
      <c r="G15" s="7" t="s">
        <v>3</v>
      </c>
      <c r="H15" s="7" t="s">
        <v>116</v>
      </c>
      <c r="I15" s="7" t="s">
        <v>117</v>
      </c>
      <c r="J15" s="7" t="s">
        <v>4</v>
      </c>
      <c r="K15" s="7" t="s">
        <v>118</v>
      </c>
      <c r="L15" s="7" t="s">
        <v>119</v>
      </c>
      <c r="M15" s="7" t="s">
        <v>120</v>
      </c>
      <c r="N15" s="7" t="s">
        <v>14</v>
      </c>
      <c r="O15" s="7" t="s">
        <v>121</v>
      </c>
      <c r="P15" s="7" t="s">
        <v>122</v>
      </c>
      <c r="Q15" s="7" t="s">
        <v>123</v>
      </c>
      <c r="R15" s="7" t="s">
        <v>16</v>
      </c>
      <c r="S15" s="7" t="s">
        <v>17</v>
      </c>
      <c r="T15" s="7" t="s">
        <v>88</v>
      </c>
      <c r="U15" s="7" t="s">
        <v>92</v>
      </c>
      <c r="V15" s="8" t="s">
        <v>95</v>
      </c>
      <c r="W15" s="132" t="s">
        <v>2</v>
      </c>
      <c r="X15" s="2"/>
      <c r="Y15" s="7" t="s">
        <v>124</v>
      </c>
      <c r="Z15" s="7" t="s">
        <v>125</v>
      </c>
      <c r="AA15" s="7" t="s">
        <v>126</v>
      </c>
      <c r="AB15" s="7" t="s">
        <v>127</v>
      </c>
      <c r="AC15" s="7" t="s">
        <v>128</v>
      </c>
      <c r="AD15" s="7" t="s">
        <v>129</v>
      </c>
      <c r="AE15" s="7" t="s">
        <v>130</v>
      </c>
      <c r="AF15" s="7" t="s">
        <v>131</v>
      </c>
      <c r="AG15" s="7" t="s">
        <v>132</v>
      </c>
      <c r="AH15" s="7" t="s">
        <v>133</v>
      </c>
      <c r="AI15" s="7" t="s">
        <v>41</v>
      </c>
      <c r="AJ15" s="7" t="s">
        <v>89</v>
      </c>
      <c r="AK15" s="7" t="s">
        <v>93</v>
      </c>
      <c r="AL15" s="8" t="s">
        <v>94</v>
      </c>
    </row>
    <row r="16" spans="2:38" s="5" customFormat="1" x14ac:dyDescent="0.25">
      <c r="D16" s="12" t="s">
        <v>39</v>
      </c>
      <c r="E16" s="19">
        <f>-E7/E6</f>
        <v>1.3348858872845832</v>
      </c>
      <c r="F16" s="19">
        <f>-F7/F6</f>
        <v>1.1539244024667075</v>
      </c>
      <c r="G16" s="19">
        <f>-G7/G6</f>
        <v>10.502673796791443</v>
      </c>
      <c r="H16" s="19">
        <f t="shared" ref="H16:P16" si="10">-H7/H6</f>
        <v>1.0763561924257932</v>
      </c>
      <c r="I16" s="19">
        <f t="shared" si="10"/>
        <v>1.0371116968182392</v>
      </c>
      <c r="J16" s="19">
        <f t="shared" si="10"/>
        <v>0.89118136439267892</v>
      </c>
      <c r="K16" s="19">
        <f t="shared" si="10"/>
        <v>1.0317408376963351</v>
      </c>
      <c r="L16" s="19">
        <f t="shared" si="10"/>
        <v>1.0529801324503312</v>
      </c>
      <c r="M16" s="19">
        <f t="shared" si="10"/>
        <v>0.98689759742035432</v>
      </c>
      <c r="N16" s="19">
        <f t="shared" si="10"/>
        <v>0.86449502703424341</v>
      </c>
      <c r="O16" s="19">
        <f t="shared" si="10"/>
        <v>1.0119872136387853</v>
      </c>
      <c r="P16" s="19">
        <f t="shared" si="10"/>
        <v>0.98948751642575561</v>
      </c>
      <c r="Q16" s="19">
        <f t="shared" ref="Q16:V16" si="11">-Q7/Q6</f>
        <v>0.91007256392536284</v>
      </c>
      <c r="R16" s="19">
        <f t="shared" si="11"/>
        <v>0.86767646167827928</v>
      </c>
      <c r="S16" s="19">
        <f t="shared" si="11"/>
        <v>0.95102448775612192</v>
      </c>
      <c r="T16" s="19">
        <f t="shared" si="11"/>
        <v>0.93661622426196978</v>
      </c>
      <c r="U16" s="19">
        <f t="shared" si="11"/>
        <v>0.88290724352671257</v>
      </c>
      <c r="V16" s="24">
        <f t="shared" si="11"/>
        <v>0.89764625712320767</v>
      </c>
      <c r="W16" s="25">
        <f>(V16-R16)*100</f>
        <v>2.9969795444928393</v>
      </c>
      <c r="X16" s="2"/>
      <c r="Y16" s="19">
        <f t="shared" ref="Y16" si="12">-Y7/Y6</f>
        <v>0.96591350455535263</v>
      </c>
      <c r="Z16" s="19">
        <f>-Z7/Z6</f>
        <v>0.64226009777388748</v>
      </c>
      <c r="AA16" s="19">
        <f t="shared" ref="AA16:AK16" si="13">-AA7/AA6</f>
        <v>1.0317408376963351</v>
      </c>
      <c r="AB16" s="19">
        <f t="shared" si="13"/>
        <v>1.0727328058429701</v>
      </c>
      <c r="AC16" s="19">
        <f t="shared" si="13"/>
        <v>0.86779007980625744</v>
      </c>
      <c r="AD16" s="19">
        <f t="shared" si="13"/>
        <v>0.62877633560733215</v>
      </c>
      <c r="AE16" s="19">
        <f t="shared" si="13"/>
        <v>1.0119872136387853</v>
      </c>
      <c r="AF16" s="19">
        <f t="shared" si="13"/>
        <v>0.96758298755186722</v>
      </c>
      <c r="AG16" s="19">
        <f t="shared" si="13"/>
        <v>0.75769036812909729</v>
      </c>
      <c r="AH16" s="19">
        <f t="shared" si="13"/>
        <v>0.76810712111990265</v>
      </c>
      <c r="AI16" s="19">
        <f t="shared" si="13"/>
        <v>0.95102448775612192</v>
      </c>
      <c r="AJ16" s="19">
        <f t="shared" si="13"/>
        <v>0.92241379310344829</v>
      </c>
      <c r="AK16" s="19">
        <f t="shared" si="13"/>
        <v>0.7783679381941091</v>
      </c>
      <c r="AL16" s="24">
        <f t="shared" ref="AL16" si="14">-AL7/AL6</f>
        <v>0.94375599331650162</v>
      </c>
    </row>
    <row r="17" spans="4:38" s="5" customFormat="1" ht="15.75" thickBot="1" x14ac:dyDescent="0.3">
      <c r="D17" s="12" t="s">
        <v>40</v>
      </c>
      <c r="E17" s="19">
        <f>-(E8+E9)/E6</f>
        <v>2.9450395901257567</v>
      </c>
      <c r="F17" s="19">
        <f>-(F8+F9)/F6</f>
        <v>1.1549231150418482</v>
      </c>
      <c r="G17" s="19">
        <f>-(G8+G9)/G6</f>
        <v>12.350267379679144</v>
      </c>
      <c r="H17" s="19">
        <f t="shared" ref="H17:Q17" si="15">-(H8+H9)/H6</f>
        <v>0.46816786079836231</v>
      </c>
      <c r="I17" s="19">
        <f t="shared" si="15"/>
        <v>0.62762204508585362</v>
      </c>
      <c r="J17" s="19">
        <f t="shared" si="15"/>
        <v>0.7652246256239601</v>
      </c>
      <c r="K17" s="19">
        <f t="shared" si="15"/>
        <v>2.0942408376963352E-2</v>
      </c>
      <c r="L17" s="19">
        <f t="shared" si="15"/>
        <v>0.42100283822138129</v>
      </c>
      <c r="M17" s="19">
        <f t="shared" si="15"/>
        <v>0.54139289983316363</v>
      </c>
      <c r="N17" s="19">
        <f t="shared" si="15"/>
        <v>0.61678125625792668</v>
      </c>
      <c r="O17" s="19">
        <f t="shared" si="15"/>
        <v>-3.1965903036760786E-2</v>
      </c>
      <c r="P17" s="19">
        <f t="shared" si="15"/>
        <v>0.32207621550591325</v>
      </c>
      <c r="Q17" s="19">
        <f t="shared" si="15"/>
        <v>0.49628541810642707</v>
      </c>
      <c r="R17" s="19">
        <f>-(R8+R9)/R6</f>
        <v>0.57982429566797944</v>
      </c>
      <c r="S17" s="19">
        <f>-(S8+S9)/S6</f>
        <v>0.6451774112943528</v>
      </c>
      <c r="T17" s="19">
        <f>-(T8+T9)/T6</f>
        <v>0.64128007938476805</v>
      </c>
      <c r="U17" s="19">
        <f>-(U8+U9)/U6</f>
        <v>0.69993444772205837</v>
      </c>
      <c r="V17" s="24">
        <f>-(V8+V9)/V6</f>
        <v>0.7847360006939561</v>
      </c>
      <c r="W17" s="25">
        <f t="shared" ref="W17:W18" si="16">(V17-R17)*100</f>
        <v>20.491170502597665</v>
      </c>
      <c r="X17" s="2"/>
      <c r="Y17" s="19">
        <f t="shared" ref="Y17" si="17">-(Y8+Y9)/Y6</f>
        <v>0.91690719181194136</v>
      </c>
      <c r="Z17" s="19">
        <f>-(Z8+Z9)/Z6</f>
        <v>0.99994079510182987</v>
      </c>
      <c r="AA17" s="19">
        <f t="shared" ref="AA17:AK17" si="18">-(AA8+AA9)/AA6</f>
        <v>2.0942408376963352E-2</v>
      </c>
      <c r="AB17" s="19">
        <f t="shared" si="18"/>
        <v>0.79306147291539864</v>
      </c>
      <c r="AC17" s="19">
        <f t="shared" si="18"/>
        <v>0.75838459631519006</v>
      </c>
      <c r="AD17" s="19">
        <f t="shared" si="18"/>
        <v>0.76196157942610032</v>
      </c>
      <c r="AE17" s="19">
        <f t="shared" si="18"/>
        <v>-3.1965903036760786E-2</v>
      </c>
      <c r="AF17" s="19">
        <f t="shared" si="18"/>
        <v>0.66675311203319498</v>
      </c>
      <c r="AG17" s="19">
        <f t="shared" si="18"/>
        <v>0.83055975794251136</v>
      </c>
      <c r="AH17" s="19">
        <f t="shared" si="18"/>
        <v>0.77601947656725501</v>
      </c>
      <c r="AI17" s="19">
        <f t="shared" si="18"/>
        <v>0.6451774112943528</v>
      </c>
      <c r="AJ17" s="19">
        <f t="shared" si="18"/>
        <v>0.63743842364532022</v>
      </c>
      <c r="AK17" s="19">
        <f t="shared" si="18"/>
        <v>0.81409946885562534</v>
      </c>
      <c r="AL17" s="24">
        <f t="shared" ref="AL17" si="19">-(AL8+AL9)/AL6</f>
        <v>1.0500303645749731</v>
      </c>
    </row>
    <row r="18" spans="4:38" s="5" customFormat="1" ht="15.75" thickBot="1" x14ac:dyDescent="0.3">
      <c r="D18" s="15" t="s">
        <v>36</v>
      </c>
      <c r="E18" s="26">
        <f>-(E7+E8+E9)/E6</f>
        <v>4.2799254774103401</v>
      </c>
      <c r="F18" s="26">
        <f>-(F7+F8+F9)/F6</f>
        <v>2.3088475175085561</v>
      </c>
      <c r="G18" s="26">
        <f>-(G7+G8+G9)/G6</f>
        <v>22.852941176470587</v>
      </c>
      <c r="H18" s="26">
        <f t="shared" ref="H18:Q18" si="20">-(H7+H8+H9)/H6</f>
        <v>1.5445240532241555</v>
      </c>
      <c r="I18" s="26">
        <f t="shared" si="20"/>
        <v>1.6647337419040926</v>
      </c>
      <c r="J18" s="26">
        <f t="shared" si="20"/>
        <v>1.656405990016639</v>
      </c>
      <c r="K18" s="26">
        <f t="shared" si="20"/>
        <v>1.0526832460732984</v>
      </c>
      <c r="L18" s="26">
        <f t="shared" si="20"/>
        <v>1.4739829706717125</v>
      </c>
      <c r="M18" s="26">
        <f t="shared" si="20"/>
        <v>1.5282904972535178</v>
      </c>
      <c r="N18" s="26">
        <f t="shared" si="20"/>
        <v>1.48127628329217</v>
      </c>
      <c r="O18" s="26">
        <f t="shared" si="20"/>
        <v>0.98002131060202446</v>
      </c>
      <c r="P18" s="26">
        <f t="shared" si="20"/>
        <v>1.3115637319316689</v>
      </c>
      <c r="Q18" s="26">
        <f t="shared" si="20"/>
        <v>1.40635798203179</v>
      </c>
      <c r="R18" s="26">
        <f>-(R7+R8+R9)/R6</f>
        <v>1.4475007573462586</v>
      </c>
      <c r="S18" s="26">
        <f>-(S7+S8+S9)/S6</f>
        <v>1.5962018990504747</v>
      </c>
      <c r="T18" s="26">
        <f>-(T7+T8+T9)/T6</f>
        <v>1.5778963036467377</v>
      </c>
      <c r="U18" s="26">
        <f>-(U7+U8+U9)/U6</f>
        <v>1.5828416912487708</v>
      </c>
      <c r="V18" s="27">
        <f>-(V7+V8+V9)/V6</f>
        <v>1.6823822578171639</v>
      </c>
      <c r="W18" s="28">
        <f t="shared" si="16"/>
        <v>23.488150047090528</v>
      </c>
      <c r="X18" s="2"/>
      <c r="Y18" s="26">
        <f t="shared" ref="Y18" si="21">-(Y7+Y8+Y9)/Y6</f>
        <v>1.882820696367294</v>
      </c>
      <c r="Z18" s="26">
        <f>-(Z7+Z8+Z9)/Z6</f>
        <v>1.6422008928757172</v>
      </c>
      <c r="AA18" s="26">
        <f t="shared" ref="AA18:AK18" si="22">-(AA7+AA8+AA9)/AA6</f>
        <v>1.0526832460732984</v>
      </c>
      <c r="AB18" s="26">
        <f t="shared" si="22"/>
        <v>1.8657942787583688</v>
      </c>
      <c r="AC18" s="26">
        <f t="shared" si="22"/>
        <v>1.6261746761214475</v>
      </c>
      <c r="AD18" s="26">
        <f t="shared" si="22"/>
        <v>1.3907379150334325</v>
      </c>
      <c r="AE18" s="26">
        <f t="shared" si="22"/>
        <v>0.98002131060202446</v>
      </c>
      <c r="AF18" s="26">
        <f t="shared" si="22"/>
        <v>1.6343360995850622</v>
      </c>
      <c r="AG18" s="26">
        <f t="shared" si="22"/>
        <v>1.5882501260716086</v>
      </c>
      <c r="AH18" s="26">
        <f t="shared" si="22"/>
        <v>1.5441265976871577</v>
      </c>
      <c r="AI18" s="26">
        <f t="shared" si="22"/>
        <v>1.5962018990504747</v>
      </c>
      <c r="AJ18" s="26">
        <f t="shared" si="22"/>
        <v>1.5598522167487685</v>
      </c>
      <c r="AK18" s="26">
        <f t="shared" si="22"/>
        <v>1.5924674070497344</v>
      </c>
      <c r="AL18" s="27">
        <f t="shared" ref="AL18" si="23">-(AL7+AL8+AL9)/AL6</f>
        <v>1.9937863578914747</v>
      </c>
    </row>
    <row r="19" spans="4:38" s="5" customFormat="1" x14ac:dyDescent="0.25">
      <c r="D19" s="1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2"/>
      <c r="W19" s="52"/>
      <c r="X19" s="13"/>
    </row>
    <row r="20" spans="4:38" s="5" customFormat="1" x14ac:dyDescent="0.25">
      <c r="V20" s="123"/>
      <c r="W20" s="123"/>
      <c r="X20" s="21"/>
    </row>
  </sheetData>
  <hyperlinks>
    <hyperlink ref="B2" location="'Suplemento Financiero&gt;&gt;&gt;'!A1" display="ÍNDICE" xr:uid="{30EBA654-9DAA-434F-A276-E33984BD1BF1}"/>
  </hyperlinks>
  <pageMargins left="0.7" right="0.7" top="0.75" bottom="0.75" header="0.3" footer="0.3"/>
  <pageSetup paperSize="9" scale="71" orientation="landscape" r:id="rId1"/>
  <ignoredErrors>
    <ignoredError sqref="E10:W10" formulaRange="1"/>
    <ignoredError sqref="AA5:AL1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L22"/>
  <sheetViews>
    <sheetView showGridLines="0" zoomScaleNormal="100" workbookViewId="0">
      <selection activeCell="B2" sqref="B2"/>
    </sheetView>
  </sheetViews>
  <sheetFormatPr baseColWidth="10" defaultColWidth="10.8554687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45.7109375" style="1" customWidth="1"/>
    <col min="5" max="5" width="11" style="1" customWidth="1"/>
    <col min="6" max="6" width="11" style="1" hidden="1" customWidth="1" outlineLevel="1"/>
    <col min="7" max="7" width="11" style="1" customWidth="1" collapsed="1"/>
    <col min="8" max="9" width="11" style="1" hidden="1" customWidth="1" outlineLevel="1"/>
    <col min="10" max="10" width="11" style="1" customWidth="1" collapsed="1"/>
    <col min="11" max="13" width="11" style="1" hidden="1" customWidth="1" outlineLevel="1"/>
    <col min="14" max="14" width="11" style="1" customWidth="1" collapsed="1"/>
    <col min="15" max="17" width="11" style="1" hidden="1" customWidth="1" outlineLevel="1"/>
    <col min="18" max="18" width="11" style="1" customWidth="1" collapsed="1"/>
    <col min="19" max="21" width="11" style="1" hidden="1" customWidth="1" outlineLevel="1"/>
    <col min="22" max="22" width="11" style="1" customWidth="1" collapsed="1"/>
    <col min="23" max="23" width="11" style="1" customWidth="1"/>
    <col min="24" max="24" width="3" style="2" customWidth="1"/>
    <col min="25" max="16384" width="10.85546875" style="1"/>
  </cols>
  <sheetData>
    <row r="1" spans="2:38" ht="16.5" customHeight="1" x14ac:dyDescent="0.25"/>
    <row r="2" spans="2:38" ht="18.75" customHeight="1" thickBot="1" x14ac:dyDescent="0.3">
      <c r="B2" s="3" t="s">
        <v>27</v>
      </c>
      <c r="D2" s="4" t="s">
        <v>148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Y2" s="4" t="s">
        <v>34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4" spans="2:38" s="5" customFormat="1" ht="15.75" thickBot="1" x14ac:dyDescent="0.3">
      <c r="D4" s="6"/>
      <c r="E4" s="7" t="s">
        <v>6</v>
      </c>
      <c r="F4" s="7" t="s">
        <v>115</v>
      </c>
      <c r="G4" s="7" t="s">
        <v>3</v>
      </c>
      <c r="H4" s="7" t="s">
        <v>116</v>
      </c>
      <c r="I4" s="7" t="s">
        <v>117</v>
      </c>
      <c r="J4" s="7" t="s">
        <v>4</v>
      </c>
      <c r="K4" s="7" t="s">
        <v>118</v>
      </c>
      <c r="L4" s="7" t="s">
        <v>119</v>
      </c>
      <c r="M4" s="7" t="s">
        <v>120</v>
      </c>
      <c r="N4" s="7" t="s">
        <v>14</v>
      </c>
      <c r="O4" s="7" t="s">
        <v>121</v>
      </c>
      <c r="P4" s="7" t="s">
        <v>122</v>
      </c>
      <c r="Q4" s="7" t="s">
        <v>123</v>
      </c>
      <c r="R4" s="7" t="s">
        <v>16</v>
      </c>
      <c r="S4" s="7" t="s">
        <v>17</v>
      </c>
      <c r="T4" s="7" t="s">
        <v>88</v>
      </c>
      <c r="U4" s="7" t="s">
        <v>92</v>
      </c>
      <c r="V4" s="8" t="s">
        <v>95</v>
      </c>
      <c r="W4" s="9" t="s">
        <v>0</v>
      </c>
      <c r="X4" s="2"/>
      <c r="Y4" s="7" t="s">
        <v>124</v>
      </c>
      <c r="Z4" s="7" t="s">
        <v>125</v>
      </c>
      <c r="AA4" s="7" t="s">
        <v>126</v>
      </c>
      <c r="AB4" s="7" t="s">
        <v>127</v>
      </c>
      <c r="AC4" s="7" t="s">
        <v>128</v>
      </c>
      <c r="AD4" s="7" t="s">
        <v>129</v>
      </c>
      <c r="AE4" s="7" t="s">
        <v>130</v>
      </c>
      <c r="AF4" s="7" t="s">
        <v>131</v>
      </c>
      <c r="AG4" s="7" t="s">
        <v>132</v>
      </c>
      <c r="AH4" s="7" t="s">
        <v>133</v>
      </c>
      <c r="AI4" s="7" t="s">
        <v>41</v>
      </c>
      <c r="AJ4" s="7" t="s">
        <v>89</v>
      </c>
      <c r="AK4" s="7" t="s">
        <v>93</v>
      </c>
      <c r="AL4" s="8" t="s">
        <v>94</v>
      </c>
    </row>
    <row r="5" spans="2:38" s="5" customFormat="1" x14ac:dyDescent="0.25">
      <c r="D5" s="10" t="s">
        <v>96</v>
      </c>
      <c r="E5" s="29">
        <v>3733</v>
      </c>
      <c r="F5" s="29">
        <v>2922.9176800000005</v>
      </c>
      <c r="G5" s="29">
        <v>3036</v>
      </c>
      <c r="H5" s="29">
        <v>1455.98549</v>
      </c>
      <c r="I5" s="29">
        <v>1458.5712900000001</v>
      </c>
      <c r="J5" s="29">
        <v>1478</v>
      </c>
      <c r="K5" s="29">
        <v>1349</v>
      </c>
      <c r="L5" s="29">
        <v>1363</v>
      </c>
      <c r="M5" s="29">
        <v>1379.12904</v>
      </c>
      <c r="N5" s="29">
        <v>1397</v>
      </c>
      <c r="O5" s="29">
        <v>1061</v>
      </c>
      <c r="P5" s="29">
        <v>1068</v>
      </c>
      <c r="Q5" s="29">
        <v>1082</v>
      </c>
      <c r="R5" s="29">
        <v>1097</v>
      </c>
      <c r="S5" s="29">
        <v>741</v>
      </c>
      <c r="T5" s="29">
        <v>754</v>
      </c>
      <c r="U5" s="29">
        <v>767</v>
      </c>
      <c r="V5" s="30">
        <v>782.92190999999991</v>
      </c>
      <c r="W5" s="11">
        <f>+V5/R5-1</f>
        <v>-0.28630637192342756</v>
      </c>
      <c r="X5" s="2"/>
      <c r="Y5" s="29">
        <f>I5-H5</f>
        <v>2.5858000000000629</v>
      </c>
      <c r="Z5" s="29">
        <f>J5-I5</f>
        <v>19.42870999999991</v>
      </c>
      <c r="AA5" s="29">
        <f t="shared" ref="AA5:AA9" si="0">K5</f>
        <v>1349</v>
      </c>
      <c r="AB5" s="29">
        <f t="shared" ref="AB5:AD10" si="1">L5-K5</f>
        <v>14</v>
      </c>
      <c r="AC5" s="29">
        <f t="shared" si="1"/>
        <v>16.129040000000032</v>
      </c>
      <c r="AD5" s="29">
        <f t="shared" si="1"/>
        <v>17.870959999999968</v>
      </c>
      <c r="AE5" s="29">
        <f t="shared" ref="AE5:AE9" si="2">O5</f>
        <v>1061</v>
      </c>
      <c r="AF5" s="29">
        <f t="shared" ref="AF5:AH10" si="3">P5-O5</f>
        <v>7</v>
      </c>
      <c r="AG5" s="29">
        <f t="shared" si="3"/>
        <v>14</v>
      </c>
      <c r="AH5" s="29">
        <f t="shared" si="3"/>
        <v>15</v>
      </c>
      <c r="AI5" s="29">
        <f t="shared" ref="AI5:AI10" si="4">S5</f>
        <v>741</v>
      </c>
      <c r="AJ5" s="29">
        <f t="shared" ref="AJ5:AL10" si="5">T5-S5</f>
        <v>13</v>
      </c>
      <c r="AK5" s="29">
        <f t="shared" si="5"/>
        <v>13</v>
      </c>
      <c r="AL5" s="30">
        <f t="shared" si="5"/>
        <v>15.921909999999912</v>
      </c>
    </row>
    <row r="6" spans="2:38" s="5" customFormat="1" x14ac:dyDescent="0.25">
      <c r="D6" s="10" t="s">
        <v>134</v>
      </c>
      <c r="E6" s="29">
        <v>3215</v>
      </c>
      <c r="F6" s="29">
        <v>2324.0937800000011</v>
      </c>
      <c r="G6" s="29">
        <v>3045</v>
      </c>
      <c r="H6" s="29">
        <v>1076.1931599999994</v>
      </c>
      <c r="I6" s="29">
        <v>1494.5009200000009</v>
      </c>
      <c r="J6" s="29">
        <v>2005.9999999999998</v>
      </c>
      <c r="K6" s="29">
        <v>324</v>
      </c>
      <c r="L6" s="29">
        <v>679</v>
      </c>
      <c r="M6" s="29">
        <v>1032.8062699999991</v>
      </c>
      <c r="N6" s="29">
        <v>1388</v>
      </c>
      <c r="O6" s="29">
        <v>481</v>
      </c>
      <c r="P6" s="29">
        <v>737</v>
      </c>
      <c r="Q6" s="29">
        <v>901</v>
      </c>
      <c r="R6" s="29">
        <v>1065</v>
      </c>
      <c r="S6" s="29">
        <v>234</v>
      </c>
      <c r="T6" s="29">
        <v>412</v>
      </c>
      <c r="U6" s="29">
        <v>592</v>
      </c>
      <c r="V6" s="30">
        <v>773.27833999999973</v>
      </c>
      <c r="W6" s="11">
        <f t="shared" ref="W6:W9" si="6">+V6/R6-1</f>
        <v>-0.27391705164319269</v>
      </c>
      <c r="X6" s="2"/>
      <c r="Y6" s="29">
        <f>I6-H6</f>
        <v>418.30776000000151</v>
      </c>
      <c r="Z6" s="29">
        <f t="shared" ref="Z6:Z10" si="7">J6-I6</f>
        <v>511.49907999999891</v>
      </c>
      <c r="AA6" s="29">
        <f t="shared" si="0"/>
        <v>324</v>
      </c>
      <c r="AB6" s="29">
        <f t="shared" si="1"/>
        <v>355</v>
      </c>
      <c r="AC6" s="29">
        <f t="shared" si="1"/>
        <v>353.80626999999913</v>
      </c>
      <c r="AD6" s="29">
        <f t="shared" si="1"/>
        <v>355.19373000000087</v>
      </c>
      <c r="AE6" s="29">
        <f t="shared" si="2"/>
        <v>481</v>
      </c>
      <c r="AF6" s="29">
        <f t="shared" si="3"/>
        <v>256</v>
      </c>
      <c r="AG6" s="29">
        <f t="shared" si="3"/>
        <v>164</v>
      </c>
      <c r="AH6" s="29">
        <f t="shared" si="3"/>
        <v>164</v>
      </c>
      <c r="AI6" s="29">
        <f t="shared" si="4"/>
        <v>234</v>
      </c>
      <c r="AJ6" s="29">
        <f t="shared" si="5"/>
        <v>178</v>
      </c>
      <c r="AK6" s="29">
        <f t="shared" si="5"/>
        <v>180</v>
      </c>
      <c r="AL6" s="30">
        <f t="shared" si="5"/>
        <v>181.27833999999973</v>
      </c>
    </row>
    <row r="7" spans="2:38" s="5" customFormat="1" x14ac:dyDescent="0.25">
      <c r="D7" s="12" t="s">
        <v>37</v>
      </c>
      <c r="E7" s="31">
        <v>-223</v>
      </c>
      <c r="F7" s="31">
        <v>-236.41472000000036</v>
      </c>
      <c r="G7" s="31">
        <v>-328</v>
      </c>
      <c r="H7" s="31">
        <v>-326.50592000000017</v>
      </c>
      <c r="I7" s="31">
        <v>-416.03276999999957</v>
      </c>
      <c r="J7" s="31">
        <v>-292</v>
      </c>
      <c r="K7" s="31">
        <v>-38</v>
      </c>
      <c r="L7" s="31">
        <v>-32</v>
      </c>
      <c r="M7" s="31">
        <v>-37.001470000000211</v>
      </c>
      <c r="N7" s="31">
        <v>0</v>
      </c>
      <c r="O7" s="31">
        <v>-49</v>
      </c>
      <c r="P7" s="31">
        <v>-21</v>
      </c>
      <c r="Q7" s="31">
        <v>-36</v>
      </c>
      <c r="R7" s="31">
        <v>-10</v>
      </c>
      <c r="S7" s="31">
        <v>-19</v>
      </c>
      <c r="T7" s="31">
        <v>-43</v>
      </c>
      <c r="U7" s="31">
        <v>-77</v>
      </c>
      <c r="V7" s="32">
        <v>-83.738099999999818</v>
      </c>
      <c r="W7" s="14">
        <f t="shared" si="6"/>
        <v>7.3738099999999811</v>
      </c>
      <c r="X7" s="2"/>
      <c r="Y7" s="31">
        <f>I7-H7</f>
        <v>-89.526849999999399</v>
      </c>
      <c r="Z7" s="31">
        <f t="shared" si="7"/>
        <v>124.03276999999957</v>
      </c>
      <c r="AA7" s="31">
        <f t="shared" si="0"/>
        <v>-38</v>
      </c>
      <c r="AB7" s="31">
        <f t="shared" si="1"/>
        <v>6</v>
      </c>
      <c r="AC7" s="31">
        <f t="shared" si="1"/>
        <v>-5.0014700000002108</v>
      </c>
      <c r="AD7" s="31">
        <f t="shared" si="1"/>
        <v>37.001470000000211</v>
      </c>
      <c r="AE7" s="31">
        <f t="shared" si="2"/>
        <v>-49</v>
      </c>
      <c r="AF7" s="31">
        <f t="shared" si="3"/>
        <v>28</v>
      </c>
      <c r="AG7" s="31">
        <f t="shared" si="3"/>
        <v>-15</v>
      </c>
      <c r="AH7" s="31">
        <f t="shared" si="3"/>
        <v>26</v>
      </c>
      <c r="AI7" s="31">
        <f t="shared" si="4"/>
        <v>-19</v>
      </c>
      <c r="AJ7" s="31">
        <f t="shared" si="5"/>
        <v>-24</v>
      </c>
      <c r="AK7" s="31">
        <f t="shared" si="5"/>
        <v>-34</v>
      </c>
      <c r="AL7" s="32">
        <f t="shared" si="5"/>
        <v>-6.7380999999998181</v>
      </c>
    </row>
    <row r="8" spans="2:38" s="5" customFormat="1" x14ac:dyDescent="0.25">
      <c r="D8" s="12" t="s">
        <v>149</v>
      </c>
      <c r="E8" s="31">
        <v>-751</v>
      </c>
      <c r="F8" s="31">
        <v>-536.81047999999998</v>
      </c>
      <c r="G8" s="31">
        <v>-724</v>
      </c>
      <c r="H8" s="31">
        <v>-416.92200000000003</v>
      </c>
      <c r="I8" s="31">
        <v>-499.85578000000004</v>
      </c>
      <c r="J8" s="31">
        <v>-708</v>
      </c>
      <c r="K8" s="31">
        <v>-184</v>
      </c>
      <c r="L8" s="31">
        <v>-172</v>
      </c>
      <c r="M8" s="31">
        <v>-386.88099</v>
      </c>
      <c r="N8" s="31">
        <v>-594</v>
      </c>
      <c r="O8" s="31">
        <v>-118</v>
      </c>
      <c r="P8" s="31">
        <v>-235</v>
      </c>
      <c r="Q8" s="31">
        <v>-353</v>
      </c>
      <c r="R8" s="31">
        <v>-637</v>
      </c>
      <c r="S8" s="31">
        <v>-76</v>
      </c>
      <c r="T8" s="31">
        <v>-151</v>
      </c>
      <c r="U8" s="31">
        <v>-227</v>
      </c>
      <c r="V8" s="32">
        <v>-392.88943</v>
      </c>
      <c r="W8" s="14">
        <f t="shared" si="6"/>
        <v>-0.3832191051805337</v>
      </c>
      <c r="X8" s="2"/>
      <c r="Y8" s="31">
        <f>I8-H8</f>
        <v>-82.933780000000013</v>
      </c>
      <c r="Z8" s="31">
        <f t="shared" si="7"/>
        <v>-208.14421999999996</v>
      </c>
      <c r="AA8" s="31">
        <f t="shared" si="0"/>
        <v>-184</v>
      </c>
      <c r="AB8" s="31">
        <f t="shared" si="1"/>
        <v>12</v>
      </c>
      <c r="AC8" s="31">
        <f t="shared" si="1"/>
        <v>-214.88099</v>
      </c>
      <c r="AD8" s="31">
        <f t="shared" si="1"/>
        <v>-207.11901</v>
      </c>
      <c r="AE8" s="31">
        <f t="shared" si="2"/>
        <v>-118</v>
      </c>
      <c r="AF8" s="31">
        <f t="shared" si="3"/>
        <v>-117</v>
      </c>
      <c r="AG8" s="31">
        <f t="shared" si="3"/>
        <v>-118</v>
      </c>
      <c r="AH8" s="31">
        <f t="shared" si="3"/>
        <v>-284</v>
      </c>
      <c r="AI8" s="31">
        <f t="shared" si="4"/>
        <v>-76</v>
      </c>
      <c r="AJ8" s="31">
        <f t="shared" si="5"/>
        <v>-75</v>
      </c>
      <c r="AK8" s="31">
        <f t="shared" si="5"/>
        <v>-76</v>
      </c>
      <c r="AL8" s="32">
        <f t="shared" si="5"/>
        <v>-165.88943</v>
      </c>
    </row>
    <row r="9" spans="2:38" s="5" customFormat="1" x14ac:dyDescent="0.25">
      <c r="D9" s="12" t="s">
        <v>38</v>
      </c>
      <c r="E9" s="31">
        <v>-1055</v>
      </c>
      <c r="F9" s="31">
        <v>-546.89414447900003</v>
      </c>
      <c r="G9" s="31">
        <v>-877</v>
      </c>
      <c r="H9" s="31">
        <v>-84.976086649599992</v>
      </c>
      <c r="I9" s="31">
        <v>-199.36252122880001</v>
      </c>
      <c r="J9" s="31">
        <v>-342</v>
      </c>
      <c r="K9" s="31">
        <v>-8</v>
      </c>
      <c r="L9" s="31">
        <v>-10</v>
      </c>
      <c r="M9" s="31">
        <v>-12.3646754888</v>
      </c>
      <c r="N9" s="31">
        <v>-113</v>
      </c>
      <c r="O9" s="31">
        <v>-50</v>
      </c>
      <c r="P9" s="31">
        <v>-76</v>
      </c>
      <c r="Q9" s="31">
        <v>-64</v>
      </c>
      <c r="R9" s="31">
        <v>-66</v>
      </c>
      <c r="S9" s="31">
        <v>-36</v>
      </c>
      <c r="T9" s="31">
        <v>-43</v>
      </c>
      <c r="U9" s="31">
        <v>-57</v>
      </c>
      <c r="V9" s="32">
        <v>-58.456710494599996</v>
      </c>
      <c r="W9" s="14">
        <f t="shared" si="6"/>
        <v>-0.11429226523333336</v>
      </c>
      <c r="X9" s="2"/>
      <c r="Y9" s="31">
        <f>I9-H9</f>
        <v>-114.38643457920001</v>
      </c>
      <c r="Z9" s="31">
        <f t="shared" si="7"/>
        <v>-142.63747877119999</v>
      </c>
      <c r="AA9" s="31">
        <f t="shared" si="0"/>
        <v>-8</v>
      </c>
      <c r="AB9" s="31">
        <f t="shared" si="1"/>
        <v>-2</v>
      </c>
      <c r="AC9" s="31">
        <f t="shared" si="1"/>
        <v>-2.3646754887999997</v>
      </c>
      <c r="AD9" s="31">
        <f t="shared" si="1"/>
        <v>-100.6353245112</v>
      </c>
      <c r="AE9" s="31">
        <f t="shared" si="2"/>
        <v>-50</v>
      </c>
      <c r="AF9" s="31">
        <f t="shared" si="3"/>
        <v>-26</v>
      </c>
      <c r="AG9" s="31">
        <f t="shared" si="3"/>
        <v>12</v>
      </c>
      <c r="AH9" s="31">
        <f t="shared" si="3"/>
        <v>-2</v>
      </c>
      <c r="AI9" s="31">
        <f t="shared" si="4"/>
        <v>-36</v>
      </c>
      <c r="AJ9" s="31">
        <f t="shared" si="5"/>
        <v>-7</v>
      </c>
      <c r="AK9" s="31">
        <f t="shared" si="5"/>
        <v>-14</v>
      </c>
      <c r="AL9" s="32">
        <f t="shared" si="5"/>
        <v>-1.4567104945999958</v>
      </c>
    </row>
    <row r="10" spans="2:38" s="5" customFormat="1" ht="15.75" thickBot="1" x14ac:dyDescent="0.3">
      <c r="D10" s="12" t="s">
        <v>135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14" t="s">
        <v>7</v>
      </c>
      <c r="X10" s="2"/>
      <c r="Y10" s="31">
        <f>I10-H10</f>
        <v>0</v>
      </c>
      <c r="Z10" s="31">
        <f t="shared" si="7"/>
        <v>0</v>
      </c>
      <c r="AA10" s="31">
        <f>K10</f>
        <v>0</v>
      </c>
      <c r="AB10" s="31">
        <f t="shared" si="1"/>
        <v>0</v>
      </c>
      <c r="AC10" s="31">
        <f t="shared" si="1"/>
        <v>0</v>
      </c>
      <c r="AD10" s="31">
        <f t="shared" si="1"/>
        <v>0</v>
      </c>
      <c r="AE10" s="31">
        <f>O10</f>
        <v>0</v>
      </c>
      <c r="AF10" s="31">
        <f t="shared" si="3"/>
        <v>0</v>
      </c>
      <c r="AG10" s="31">
        <f t="shared" si="3"/>
        <v>0</v>
      </c>
      <c r="AH10" s="31">
        <f t="shared" si="3"/>
        <v>0</v>
      </c>
      <c r="AI10" s="31">
        <f t="shared" si="4"/>
        <v>0</v>
      </c>
      <c r="AJ10" s="31">
        <f t="shared" si="5"/>
        <v>0</v>
      </c>
      <c r="AK10" s="31">
        <f t="shared" si="5"/>
        <v>0</v>
      </c>
      <c r="AL10" s="32">
        <f t="shared" si="5"/>
        <v>0</v>
      </c>
    </row>
    <row r="11" spans="2:38" s="5" customFormat="1" ht="15.75" thickBot="1" x14ac:dyDescent="0.3">
      <c r="D11" s="15" t="s">
        <v>35</v>
      </c>
      <c r="E11" s="16">
        <f>SUM(E6:E10)</f>
        <v>1186</v>
      </c>
      <c r="F11" s="16">
        <f>SUM(F6:F10)</f>
        <v>1003.9744355210007</v>
      </c>
      <c r="G11" s="16">
        <f>SUM(G6:G10)</f>
        <v>1116</v>
      </c>
      <c r="H11" s="16">
        <f t="shared" ref="H11:S11" si="8">SUM(H6:H10)</f>
        <v>247.78915335039915</v>
      </c>
      <c r="I11" s="16">
        <f t="shared" si="8"/>
        <v>379.24984877120119</v>
      </c>
      <c r="J11" s="16">
        <f t="shared" si="8"/>
        <v>663.99999999999977</v>
      </c>
      <c r="K11" s="16">
        <f t="shared" si="8"/>
        <v>94</v>
      </c>
      <c r="L11" s="16">
        <f t="shared" si="8"/>
        <v>465</v>
      </c>
      <c r="M11" s="16">
        <f t="shared" si="8"/>
        <v>596.55913451119898</v>
      </c>
      <c r="N11" s="16">
        <f t="shared" si="8"/>
        <v>681</v>
      </c>
      <c r="O11" s="16">
        <f t="shared" si="8"/>
        <v>264</v>
      </c>
      <c r="P11" s="16">
        <f t="shared" si="8"/>
        <v>405</v>
      </c>
      <c r="Q11" s="16">
        <f t="shared" si="8"/>
        <v>448</v>
      </c>
      <c r="R11" s="16">
        <f t="shared" si="8"/>
        <v>352</v>
      </c>
      <c r="S11" s="16">
        <f t="shared" si="8"/>
        <v>103</v>
      </c>
      <c r="T11" s="16">
        <f>SUM(T6:T10)</f>
        <v>175</v>
      </c>
      <c r="U11" s="16">
        <f>SUM(U6:U10)</f>
        <v>231</v>
      </c>
      <c r="V11" s="17">
        <f>SUM(V6:V10)</f>
        <v>238.19409950539992</v>
      </c>
      <c r="W11" s="128">
        <f>+V11/R11-1</f>
        <v>-0.32331221731420479</v>
      </c>
      <c r="X11" s="2"/>
      <c r="Y11" s="16">
        <f t="shared" ref="Y11:AB11" si="9">SUM(Y6:Y10)</f>
        <v>131.4606954208021</v>
      </c>
      <c r="Z11" s="16">
        <f t="shared" si="9"/>
        <v>284.75015122879853</v>
      </c>
      <c r="AA11" s="16">
        <f t="shared" si="9"/>
        <v>94</v>
      </c>
      <c r="AB11" s="16">
        <f t="shared" si="9"/>
        <v>371</v>
      </c>
      <c r="AC11" s="16">
        <f>SUM(AC6:AC10)</f>
        <v>131.55913451119892</v>
      </c>
      <c r="AD11" s="16">
        <f>SUM(AD6:AD10)</f>
        <v>84.44086548880108</v>
      </c>
      <c r="AE11" s="16">
        <f>SUM(AE6:AE10)</f>
        <v>264</v>
      </c>
      <c r="AF11" s="16">
        <f t="shared" ref="AF11:AG11" si="10">SUM(AF6:AF10)</f>
        <v>141</v>
      </c>
      <c r="AG11" s="16">
        <f t="shared" si="10"/>
        <v>43</v>
      </c>
      <c r="AH11" s="16">
        <f>SUM(AH6:AH10)</f>
        <v>-96</v>
      </c>
      <c r="AI11" s="16">
        <f>SUM(AI6:AI10)</f>
        <v>103</v>
      </c>
      <c r="AJ11" s="16">
        <f>SUM(AJ6:AJ10)</f>
        <v>72</v>
      </c>
      <c r="AK11" s="16">
        <f>SUM(AK6:AK10)</f>
        <v>56</v>
      </c>
      <c r="AL11" s="17">
        <f>SUM(AL6:AL10)</f>
        <v>7.1940995053999259</v>
      </c>
    </row>
    <row r="12" spans="2:38" s="5" customFormat="1" ht="9" customHeight="1" x14ac:dyDescent="0.25">
      <c r="D12" s="1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9"/>
      <c r="X12" s="2"/>
    </row>
    <row r="13" spans="2:38" s="5" customFormat="1" x14ac:dyDescent="0.25"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2" t="s">
        <v>29</v>
      </c>
      <c r="X13" s="2"/>
      <c r="AI13" s="22"/>
      <c r="AJ13" s="22"/>
      <c r="AK13" s="22"/>
      <c r="AL13" s="22" t="s">
        <v>29</v>
      </c>
    </row>
    <row r="14" spans="2:38" s="5" customFormat="1" x14ac:dyDescent="0.25"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"/>
    </row>
    <row r="15" spans="2:38" s="5" customFormat="1" x14ac:dyDescent="0.25">
      <c r="D15" s="10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9"/>
      <c r="X15" s="2"/>
    </row>
    <row r="16" spans="2:38" s="5" customFormat="1" ht="15.75" thickBot="1" x14ac:dyDescent="0.3">
      <c r="D16" s="6"/>
      <c r="E16" s="7" t="s">
        <v>6</v>
      </c>
      <c r="F16" s="7" t="s">
        <v>115</v>
      </c>
      <c r="G16" s="7" t="s">
        <v>3</v>
      </c>
      <c r="H16" s="7" t="s">
        <v>116</v>
      </c>
      <c r="I16" s="7" t="s">
        <v>117</v>
      </c>
      <c r="J16" s="7" t="s">
        <v>4</v>
      </c>
      <c r="K16" s="7" t="s">
        <v>118</v>
      </c>
      <c r="L16" s="7" t="s">
        <v>119</v>
      </c>
      <c r="M16" s="7" t="s">
        <v>120</v>
      </c>
      <c r="N16" s="7" t="s">
        <v>14</v>
      </c>
      <c r="O16" s="7" t="s">
        <v>121</v>
      </c>
      <c r="P16" s="7" t="s">
        <v>122</v>
      </c>
      <c r="Q16" s="7" t="s">
        <v>123</v>
      </c>
      <c r="R16" s="7" t="s">
        <v>16</v>
      </c>
      <c r="S16" s="7" t="s">
        <v>17</v>
      </c>
      <c r="T16" s="7" t="s">
        <v>88</v>
      </c>
      <c r="U16" s="7" t="s">
        <v>92</v>
      </c>
      <c r="V16" s="8" t="s">
        <v>95</v>
      </c>
      <c r="W16" s="132" t="s">
        <v>2</v>
      </c>
      <c r="X16" s="2"/>
      <c r="Y16" s="7" t="s">
        <v>124</v>
      </c>
      <c r="Z16" s="7" t="s">
        <v>125</v>
      </c>
      <c r="AA16" s="7" t="s">
        <v>126</v>
      </c>
      <c r="AB16" s="7" t="s">
        <v>127</v>
      </c>
      <c r="AC16" s="7" t="s">
        <v>128</v>
      </c>
      <c r="AD16" s="7" t="s">
        <v>129</v>
      </c>
      <c r="AE16" s="7" t="s">
        <v>130</v>
      </c>
      <c r="AF16" s="7" t="s">
        <v>131</v>
      </c>
      <c r="AG16" s="7" t="s">
        <v>132</v>
      </c>
      <c r="AH16" s="7" t="s">
        <v>133</v>
      </c>
      <c r="AI16" s="7" t="s">
        <v>41</v>
      </c>
      <c r="AJ16" s="7" t="s">
        <v>89</v>
      </c>
      <c r="AK16" s="7" t="s">
        <v>93</v>
      </c>
      <c r="AL16" s="8" t="s">
        <v>94</v>
      </c>
    </row>
    <row r="17" spans="4:38" s="5" customFormat="1" x14ac:dyDescent="0.25">
      <c r="D17" s="12" t="s">
        <v>39</v>
      </c>
      <c r="E17" s="19">
        <f>-E7/E6</f>
        <v>6.9362363919129089E-2</v>
      </c>
      <c r="F17" s="19">
        <f>-F7/F6</f>
        <v>0.10172339947486983</v>
      </c>
      <c r="G17" s="19">
        <f>-G7/G6</f>
        <v>0.10771756978653531</v>
      </c>
      <c r="H17" s="19">
        <f t="shared" ref="H17:Q17" si="11">-H7/H6</f>
        <v>0.30338970004232363</v>
      </c>
      <c r="I17" s="19">
        <f t="shared" si="11"/>
        <v>0.27837572023709384</v>
      </c>
      <c r="J17" s="19">
        <f t="shared" si="11"/>
        <v>0.14556331006979065</v>
      </c>
      <c r="K17" s="19">
        <f t="shared" si="11"/>
        <v>0.11728395061728394</v>
      </c>
      <c r="L17" s="19">
        <f t="shared" si="11"/>
        <v>4.7128129602356406E-2</v>
      </c>
      <c r="M17" s="19">
        <f t="shared" si="11"/>
        <v>3.5826147724684364E-2</v>
      </c>
      <c r="N17" s="19">
        <f t="shared" si="11"/>
        <v>0</v>
      </c>
      <c r="O17" s="19">
        <f t="shared" si="11"/>
        <v>0.10187110187110188</v>
      </c>
      <c r="P17" s="19">
        <f t="shared" si="11"/>
        <v>2.8493894165535955E-2</v>
      </c>
      <c r="Q17" s="19">
        <f t="shared" si="11"/>
        <v>3.9955604883462822E-2</v>
      </c>
      <c r="R17" s="19">
        <f>-R7/R6</f>
        <v>9.3896713615023476E-3</v>
      </c>
      <c r="S17" s="19">
        <f>-S7/S6</f>
        <v>8.11965811965812E-2</v>
      </c>
      <c r="T17" s="19">
        <f>-T7/T6</f>
        <v>0.10436893203883495</v>
      </c>
      <c r="U17" s="19">
        <f>-U7/U6</f>
        <v>0.13006756756756757</v>
      </c>
      <c r="V17" s="24">
        <f>-V7/V6</f>
        <v>0.10828972656857278</v>
      </c>
      <c r="W17" s="25">
        <f>(V17-R17)*100</f>
        <v>9.8900055207070423</v>
      </c>
      <c r="X17" s="2"/>
      <c r="Y17" s="19">
        <f t="shared" ref="Y17:AG17" si="12">-Y7/Y6</f>
        <v>0.21402148982366256</v>
      </c>
      <c r="Z17" s="19">
        <f t="shared" si="12"/>
        <v>-0.24248874504329476</v>
      </c>
      <c r="AA17" s="19">
        <f t="shared" si="12"/>
        <v>0.11728395061728394</v>
      </c>
      <c r="AB17" s="19">
        <f t="shared" si="12"/>
        <v>-1.6901408450704224E-2</v>
      </c>
      <c r="AC17" s="19">
        <f t="shared" si="12"/>
        <v>1.4136182493318231E-2</v>
      </c>
      <c r="AD17" s="19">
        <f t="shared" si="12"/>
        <v>-0.10417264403850857</v>
      </c>
      <c r="AE17" s="19">
        <f t="shared" si="12"/>
        <v>0.10187110187110188</v>
      </c>
      <c r="AF17" s="19">
        <f t="shared" si="12"/>
        <v>-0.109375</v>
      </c>
      <c r="AG17" s="19">
        <f t="shared" si="12"/>
        <v>9.1463414634146339E-2</v>
      </c>
      <c r="AH17" s="19">
        <f>-AH7/AH6</f>
        <v>-0.15853658536585366</v>
      </c>
      <c r="AI17" s="19">
        <f>-AI7/AI6</f>
        <v>8.11965811965812E-2</v>
      </c>
      <c r="AJ17" s="19">
        <f>-AJ7/AJ6</f>
        <v>0.1348314606741573</v>
      </c>
      <c r="AK17" s="19">
        <f>-AK7/AK6</f>
        <v>0.18888888888888888</v>
      </c>
      <c r="AL17" s="24">
        <f>-AL7/AL6</f>
        <v>3.7169912301711433E-2</v>
      </c>
    </row>
    <row r="18" spans="4:38" s="5" customFormat="1" ht="15.75" thickBot="1" x14ac:dyDescent="0.3">
      <c r="D18" s="12" t="s">
        <v>40</v>
      </c>
      <c r="E18" s="19">
        <f>-(E9+E10+E8)/E6</f>
        <v>0.56174183514774489</v>
      </c>
      <c r="F18" s="19">
        <f>-(F9+F10+F8)/F6</f>
        <v>0.46629126320324277</v>
      </c>
      <c r="G18" s="19">
        <f>-(G9+G10+G8)/G6</f>
        <v>0.52577996715927755</v>
      </c>
      <c r="H18" s="19">
        <f t="shared" ref="H18:U18" si="13">-(H9+H10+H8)/H6</f>
        <v>0.46636431572339704</v>
      </c>
      <c r="I18" s="19">
        <f t="shared" si="13"/>
        <v>0.46786073656535432</v>
      </c>
      <c r="J18" s="19">
        <f t="shared" si="13"/>
        <v>0.52342971086739787</v>
      </c>
      <c r="K18" s="19">
        <f t="shared" si="13"/>
        <v>0.59259259259259256</v>
      </c>
      <c r="L18" s="19">
        <f t="shared" si="13"/>
        <v>0.26804123711340205</v>
      </c>
      <c r="M18" s="19">
        <f t="shared" si="13"/>
        <v>0.38656394435792912</v>
      </c>
      <c r="N18" s="19">
        <f t="shared" si="13"/>
        <v>0.50936599423631124</v>
      </c>
      <c r="O18" s="19">
        <f t="shared" si="13"/>
        <v>0.34927234927234929</v>
      </c>
      <c r="P18" s="19">
        <f t="shared" si="13"/>
        <v>0.42198100407055633</v>
      </c>
      <c r="Q18" s="19">
        <f t="shared" si="13"/>
        <v>0.462819089900111</v>
      </c>
      <c r="R18" s="19">
        <f t="shared" si="13"/>
        <v>0.66009389671361507</v>
      </c>
      <c r="S18" s="19">
        <f t="shared" si="13"/>
        <v>0.47863247863247865</v>
      </c>
      <c r="T18" s="19">
        <f t="shared" si="13"/>
        <v>0.470873786407767</v>
      </c>
      <c r="U18" s="19">
        <f t="shared" si="13"/>
        <v>0.47972972972972971</v>
      </c>
      <c r="V18" s="24">
        <f t="shared" ref="V18" si="14">-(V9+V10+V8)/V6</f>
        <v>0.58367875724360796</v>
      </c>
      <c r="W18" s="25">
        <f t="shared" ref="W18:W19" si="15">(V18-R18)*100</f>
        <v>-7.6415139470007105</v>
      </c>
      <c r="X18" s="2"/>
      <c r="Y18" s="19">
        <f t="shared" ref="Y18:AG18" si="16">-(Y9+Y10+Y8)/Y6</f>
        <v>0.47171062420453136</v>
      </c>
      <c r="Z18" s="19">
        <f t="shared" si="16"/>
        <v>0.68579145591268842</v>
      </c>
      <c r="AA18" s="19">
        <f t="shared" si="16"/>
        <v>0.59259259259259256</v>
      </c>
      <c r="AB18" s="19">
        <f t="shared" si="16"/>
        <v>-2.8169014084507043E-2</v>
      </c>
      <c r="AC18" s="19">
        <f t="shared" si="16"/>
        <v>0.61402435148704548</v>
      </c>
      <c r="AD18" s="19">
        <f t="shared" si="16"/>
        <v>0.8664407857402191</v>
      </c>
      <c r="AE18" s="19">
        <f t="shared" si="16"/>
        <v>0.34927234927234929</v>
      </c>
      <c r="AF18" s="19">
        <f t="shared" si="16"/>
        <v>0.55859375</v>
      </c>
      <c r="AG18" s="19">
        <f t="shared" si="16"/>
        <v>0.64634146341463417</v>
      </c>
      <c r="AH18" s="19">
        <f>-(AH9+AH10+AH8)/AH6</f>
        <v>1.7439024390243902</v>
      </c>
      <c r="AI18" s="19">
        <f>-(AI9+AI10+AI8)/AI6</f>
        <v>0.47863247863247865</v>
      </c>
      <c r="AJ18" s="19">
        <f>-(AJ9+AJ10+AJ8)/AJ6</f>
        <v>0.4606741573033708</v>
      </c>
      <c r="AK18" s="19">
        <f>-(AK9+AK10+AK8)/AK6</f>
        <v>0.5</v>
      </c>
      <c r="AL18" s="24">
        <f>-(AL9+AL10+AL8)/AL6</f>
        <v>0.92314470937123683</v>
      </c>
    </row>
    <row r="19" spans="4:38" s="5" customFormat="1" ht="15.75" thickBot="1" x14ac:dyDescent="0.3">
      <c r="D19" s="15" t="s">
        <v>36</v>
      </c>
      <c r="E19" s="26">
        <f>-(E7+E9+E10+E8)/E6</f>
        <v>0.63110419906687398</v>
      </c>
      <c r="F19" s="26">
        <f>-(F7+F9+F10+F8)/F6</f>
        <v>0.56801466267811263</v>
      </c>
      <c r="G19" s="26">
        <f>-(G7+G9+G10+G8)/G6</f>
        <v>0.63349753694581279</v>
      </c>
      <c r="H19" s="26">
        <f t="shared" ref="H19:U19" si="17">-(H7+H9+H10+H8)/H6</f>
        <v>0.76975401576572067</v>
      </c>
      <c r="I19" s="26">
        <f t="shared" si="17"/>
        <v>0.74623645680244821</v>
      </c>
      <c r="J19" s="26">
        <f t="shared" si="17"/>
        <v>0.66899302093718849</v>
      </c>
      <c r="K19" s="26">
        <f t="shared" si="17"/>
        <v>0.70987654320987659</v>
      </c>
      <c r="L19" s="26">
        <f t="shared" si="17"/>
        <v>0.31516936671575846</v>
      </c>
      <c r="M19" s="26">
        <f t="shared" si="17"/>
        <v>0.42239009208261352</v>
      </c>
      <c r="N19" s="26">
        <f t="shared" si="17"/>
        <v>0.50936599423631124</v>
      </c>
      <c r="O19" s="26">
        <f t="shared" si="17"/>
        <v>0.45114345114345117</v>
      </c>
      <c r="P19" s="26">
        <f t="shared" si="17"/>
        <v>0.45047489823609227</v>
      </c>
      <c r="Q19" s="26">
        <f t="shared" si="17"/>
        <v>0.50277469478357384</v>
      </c>
      <c r="R19" s="26">
        <f t="shared" si="17"/>
        <v>0.66948356807511733</v>
      </c>
      <c r="S19" s="26">
        <f t="shared" si="17"/>
        <v>0.55982905982905984</v>
      </c>
      <c r="T19" s="26">
        <f t="shared" si="17"/>
        <v>0.57524271844660191</v>
      </c>
      <c r="U19" s="26">
        <f t="shared" si="17"/>
        <v>0.60979729729729726</v>
      </c>
      <c r="V19" s="27">
        <f t="shared" ref="V19" si="18">-(V7+V9+V10+V8)/V6</f>
        <v>0.69196848381218079</v>
      </c>
      <c r="W19" s="28">
        <f t="shared" si="15"/>
        <v>2.248491573706346</v>
      </c>
      <c r="X19" s="13"/>
      <c r="Y19" s="26">
        <f t="shared" ref="Y19:AK19" si="19">-(Y7+Y9+Y10+Y8)/Y6</f>
        <v>0.6857321140281939</v>
      </c>
      <c r="Z19" s="26">
        <f t="shared" si="19"/>
        <v>0.44330271086939366</v>
      </c>
      <c r="AA19" s="26">
        <f t="shared" si="19"/>
        <v>0.70987654320987659</v>
      </c>
      <c r="AB19" s="26">
        <f t="shared" si="19"/>
        <v>-4.507042253521127E-2</v>
      </c>
      <c r="AC19" s="26">
        <f t="shared" si="19"/>
        <v>0.62816053398036376</v>
      </c>
      <c r="AD19" s="26">
        <f t="shared" si="19"/>
        <v>0.76226814170171053</v>
      </c>
      <c r="AE19" s="26">
        <f t="shared" si="19"/>
        <v>0.45114345114345117</v>
      </c>
      <c r="AF19" s="26">
        <f t="shared" si="19"/>
        <v>0.44921875</v>
      </c>
      <c r="AG19" s="26">
        <f t="shared" si="19"/>
        <v>0.73780487804878048</v>
      </c>
      <c r="AH19" s="26">
        <f t="shared" si="19"/>
        <v>1.5853658536585367</v>
      </c>
      <c r="AI19" s="26">
        <f t="shared" si="19"/>
        <v>0.55982905982905984</v>
      </c>
      <c r="AJ19" s="26">
        <f t="shared" si="19"/>
        <v>0.5955056179775281</v>
      </c>
      <c r="AK19" s="26">
        <f t="shared" si="19"/>
        <v>0.68888888888888888</v>
      </c>
      <c r="AL19" s="27">
        <f t="shared" ref="AL19" si="20">-(AL7+AL9+AL10+AL8)/AL6</f>
        <v>0.96031462167294823</v>
      </c>
    </row>
    <row r="20" spans="4:38" s="5" customFormat="1" x14ac:dyDescent="0.25">
      <c r="D20" s="1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21"/>
    </row>
    <row r="21" spans="4:38" s="5" customFormat="1" x14ac:dyDescent="0.25">
      <c r="W21" s="123"/>
      <c r="X21" s="2"/>
    </row>
    <row r="22" spans="4:38" x14ac:dyDescent="0.25">
      <c r="Y22" s="5"/>
      <c r="Z22" s="5"/>
      <c r="AA22" s="5"/>
      <c r="AB22" s="5"/>
      <c r="AC22" s="5"/>
      <c r="AD22" s="5"/>
      <c r="AE22" s="5"/>
      <c r="AF22" s="5"/>
      <c r="AG22" s="5"/>
      <c r="AH22" s="5"/>
    </row>
  </sheetData>
  <hyperlinks>
    <hyperlink ref="B2" location="'Suplemento Financiero&gt;&gt;&gt;'!A1" display="ÍNDICE" xr:uid="{0292A91A-DBD5-41AF-9879-F4358718FD7E}"/>
  </hyperlinks>
  <pageMargins left="0.7" right="0.7" top="0.75" bottom="0.75" header="0.3" footer="0.3"/>
  <pageSetup paperSize="9" scale="71" orientation="landscape" r:id="rId1"/>
  <ignoredErrors>
    <ignoredError sqref="E11:T11" formulaRange="1"/>
    <ignoredError sqref="AA5:AE10 AI5:AI1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64D1-C1D1-4217-A754-7327D23BCD87}">
  <sheetPr>
    <tabColor theme="1" tint="0.249977111117893"/>
  </sheetPr>
  <dimension ref="B1:G29"/>
  <sheetViews>
    <sheetView showGridLines="0" zoomScaleNormal="100" workbookViewId="0">
      <selection activeCell="B2" sqref="B2"/>
    </sheetView>
  </sheetViews>
  <sheetFormatPr baseColWidth="10" defaultColWidth="11.42578125" defaultRowHeight="13.5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50.42578125" style="1" bestFit="1" customWidth="1"/>
    <col min="5" max="5" width="13.42578125" style="1" customWidth="1"/>
    <col min="6" max="6" width="2" style="1" customWidth="1"/>
    <col min="7" max="7" width="13.42578125" style="1" customWidth="1"/>
    <col min="8" max="16384" width="11.42578125" style="1"/>
  </cols>
  <sheetData>
    <row r="1" spans="2:7" ht="16.5" customHeight="1" x14ac:dyDescent="0.25"/>
    <row r="2" spans="2:7" ht="18.75" customHeight="1" thickBot="1" x14ac:dyDescent="0.3">
      <c r="B2" s="3" t="s">
        <v>27</v>
      </c>
      <c r="D2" s="4" t="s">
        <v>178</v>
      </c>
      <c r="E2" s="4"/>
      <c r="F2" s="4"/>
      <c r="G2" s="4"/>
    </row>
    <row r="4" spans="2:7" ht="17.25" thickBot="1" x14ac:dyDescent="0.3">
      <c r="D4" s="151" t="s">
        <v>95</v>
      </c>
      <c r="E4" s="46" t="s">
        <v>176</v>
      </c>
      <c r="F4" s="152"/>
      <c r="G4" s="153" t="s">
        <v>177</v>
      </c>
    </row>
    <row r="5" spans="2:7" ht="14.25" x14ac:dyDescent="0.25">
      <c r="D5" s="20" t="s">
        <v>179</v>
      </c>
      <c r="E5" s="154">
        <v>936616.75870999997</v>
      </c>
      <c r="F5" s="21"/>
      <c r="G5" s="155"/>
    </row>
    <row r="6" spans="2:7" x14ac:dyDescent="0.25">
      <c r="D6" s="20" t="s">
        <v>180</v>
      </c>
      <c r="E6" s="154">
        <v>0</v>
      </c>
      <c r="F6" s="20"/>
      <c r="G6" s="156">
        <v>936777</v>
      </c>
    </row>
    <row r="7" spans="2:7" x14ac:dyDescent="0.25">
      <c r="D7" s="20"/>
      <c r="E7" s="154"/>
      <c r="F7" s="20"/>
      <c r="G7" s="156"/>
    </row>
    <row r="8" spans="2:7" ht="14.25" x14ac:dyDescent="0.25">
      <c r="D8" s="157" t="s">
        <v>181</v>
      </c>
      <c r="E8" s="158">
        <f>SUM(E9:E14)</f>
        <v>-800940.89993323886</v>
      </c>
      <c r="F8" s="20"/>
      <c r="G8" s="159">
        <f>SUM(G9:G14)</f>
        <v>-760762</v>
      </c>
    </row>
    <row r="9" spans="2:7" x14ac:dyDescent="0.25">
      <c r="D9" s="20" t="s">
        <v>182</v>
      </c>
      <c r="E9" s="154">
        <v>-596170.69807000004</v>
      </c>
      <c r="F9" s="20"/>
      <c r="G9" s="156">
        <v>-567951</v>
      </c>
    </row>
    <row r="10" spans="2:7" x14ac:dyDescent="0.25">
      <c r="D10" s="20" t="s">
        <v>195</v>
      </c>
      <c r="E10" s="154">
        <v>-77168.378380000388</v>
      </c>
      <c r="F10" s="20"/>
      <c r="G10" s="156">
        <v>-66471</v>
      </c>
    </row>
    <row r="11" spans="2:7" x14ac:dyDescent="0.25">
      <c r="D11" s="20" t="s">
        <v>183</v>
      </c>
      <c r="E11" s="154">
        <v>-127601.82348323849</v>
      </c>
      <c r="F11" s="20"/>
      <c r="G11" s="156">
        <v>-127364</v>
      </c>
    </row>
    <row r="12" spans="2:7" x14ac:dyDescent="0.25">
      <c r="D12" s="20" t="s">
        <v>184</v>
      </c>
      <c r="E12" s="154">
        <v>0</v>
      </c>
      <c r="F12" s="20"/>
      <c r="G12" s="156">
        <v>1365</v>
      </c>
    </row>
    <row r="13" spans="2:7" x14ac:dyDescent="0.25">
      <c r="D13" s="160" t="s">
        <v>185</v>
      </c>
      <c r="E13" s="154">
        <v>0</v>
      </c>
      <c r="F13" s="20"/>
      <c r="G13" s="156">
        <v>-368</v>
      </c>
    </row>
    <row r="14" spans="2:7" ht="14.25" thickBot="1" x14ac:dyDescent="0.3">
      <c r="D14" s="20" t="s">
        <v>186</v>
      </c>
      <c r="E14" s="154">
        <v>0</v>
      </c>
      <c r="F14" s="20"/>
      <c r="G14" s="156">
        <v>27</v>
      </c>
    </row>
    <row r="15" spans="2:7" ht="15" thickBot="1" x14ac:dyDescent="0.3">
      <c r="D15" s="161" t="s">
        <v>187</v>
      </c>
      <c r="E15" s="162">
        <f>-E8/E5</f>
        <v>0.85514261034189998</v>
      </c>
      <c r="F15" s="163"/>
      <c r="G15" s="164">
        <f>-G8/G6</f>
        <v>0.81210576263080758</v>
      </c>
    </row>
    <row r="16" spans="2:7" x14ac:dyDescent="0.25">
      <c r="D16" s="20"/>
      <c r="E16" s="20"/>
      <c r="F16" s="20"/>
      <c r="G16" s="165"/>
    </row>
    <row r="17" spans="4:7" ht="14.25" x14ac:dyDescent="0.25">
      <c r="D17" s="157" t="s">
        <v>188</v>
      </c>
      <c r="E17" s="158">
        <f>+SUM(E18:E24)</f>
        <v>-186707.58170748808</v>
      </c>
      <c r="F17" s="20"/>
      <c r="G17" s="159">
        <f>+SUM(G18:G24)</f>
        <v>-214240</v>
      </c>
    </row>
    <row r="18" spans="4:7" x14ac:dyDescent="0.25">
      <c r="D18" s="20" t="s">
        <v>189</v>
      </c>
      <c r="E18" s="154">
        <v>-185358.29703856172</v>
      </c>
      <c r="F18" s="20"/>
      <c r="G18" s="166">
        <v>-183554</v>
      </c>
    </row>
    <row r="19" spans="4:7" x14ac:dyDescent="0.25">
      <c r="D19" s="20" t="s">
        <v>190</v>
      </c>
      <c r="E19" s="154">
        <v>-23165.166868926357</v>
      </c>
      <c r="F19" s="20"/>
      <c r="G19" s="166">
        <v>-24706</v>
      </c>
    </row>
    <row r="20" spans="4:7" x14ac:dyDescent="0.25">
      <c r="D20" s="167" t="s">
        <v>137</v>
      </c>
      <c r="E20" s="136">
        <v>0</v>
      </c>
      <c r="F20" s="20"/>
      <c r="G20" s="166">
        <v>-1877</v>
      </c>
    </row>
    <row r="21" spans="4:7" x14ac:dyDescent="0.25">
      <c r="D21" s="167" t="s">
        <v>191</v>
      </c>
      <c r="E21" s="136">
        <v>-5103.3515499999994</v>
      </c>
      <c r="F21" s="20"/>
      <c r="G21" s="166">
        <v>-4217</v>
      </c>
    </row>
    <row r="22" spans="4:7" x14ac:dyDescent="0.25">
      <c r="D22" s="167" t="s">
        <v>192</v>
      </c>
      <c r="E22" s="136">
        <v>114.44986</v>
      </c>
      <c r="F22" s="20"/>
      <c r="G22" s="166">
        <v>114</v>
      </c>
    </row>
    <row r="23" spans="4:7" x14ac:dyDescent="0.25">
      <c r="D23" s="167" t="s">
        <v>194</v>
      </c>
      <c r="E23" s="136">
        <v>27197.673319999998</v>
      </c>
      <c r="F23" s="20"/>
      <c r="G23" s="166">
        <v>0</v>
      </c>
    </row>
    <row r="24" spans="4:7" ht="14.25" thickBot="1" x14ac:dyDescent="0.3">
      <c r="D24" s="167" t="s">
        <v>149</v>
      </c>
      <c r="E24" s="136">
        <v>-392.88943</v>
      </c>
      <c r="F24" s="20"/>
      <c r="G24" s="166">
        <v>0</v>
      </c>
    </row>
    <row r="25" spans="4:7" ht="15" thickBot="1" x14ac:dyDescent="0.3">
      <c r="D25" s="162" t="s">
        <v>193</v>
      </c>
      <c r="E25" s="162">
        <f>-E17/E5</f>
        <v>0.19934255923910649</v>
      </c>
      <c r="F25" s="163"/>
      <c r="G25" s="164">
        <f>-G17/G6</f>
        <v>0.22869903936582558</v>
      </c>
    </row>
    <row r="26" spans="4:7" x14ac:dyDescent="0.25">
      <c r="D26" s="20"/>
      <c r="E26" s="20"/>
      <c r="F26" s="20"/>
      <c r="G26" s="165"/>
    </row>
    <row r="27" spans="4:7" ht="14.25" x14ac:dyDescent="0.25">
      <c r="D27" s="168" t="s">
        <v>36</v>
      </c>
      <c r="E27" s="169">
        <f>E25+E15</f>
        <v>1.0544851695810065</v>
      </c>
      <c r="F27" s="163"/>
      <c r="G27" s="170">
        <f>G25+G15</f>
        <v>1.0408048019966332</v>
      </c>
    </row>
    <row r="28" spans="4:7" ht="9" customHeight="1" x14ac:dyDescent="0.25">
      <c r="D28" s="10"/>
      <c r="E28" s="51"/>
      <c r="F28" s="51"/>
      <c r="G28" s="51"/>
    </row>
    <row r="29" spans="4:7" x14ac:dyDescent="0.25">
      <c r="G29" s="22" t="s">
        <v>29</v>
      </c>
    </row>
  </sheetData>
  <hyperlinks>
    <hyperlink ref="B2" location="'Suplemento Financiero&gt;&gt;&gt;'!A1" display="ÍNDICE" xr:uid="{E1AD43E4-7BF6-4CF1-99BE-C03BCE09E263}"/>
  </hyperlinks>
  <pageMargins left="0.7" right="0.7" top="0.75" bottom="0.75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J30"/>
  <sheetViews>
    <sheetView showGridLines="0" zoomScaleNormal="100" workbookViewId="0">
      <selection activeCell="B2" sqref="B2"/>
    </sheetView>
  </sheetViews>
  <sheetFormatPr baseColWidth="10" defaultColWidth="11.42578125" defaultRowHeight="13.5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48.42578125" style="1" bestFit="1" customWidth="1"/>
    <col min="5" max="10" width="13.42578125" style="1" customWidth="1"/>
    <col min="11" max="16384" width="11.42578125" style="1"/>
  </cols>
  <sheetData>
    <row r="1" spans="2:10" ht="16.5" customHeight="1" x14ac:dyDescent="0.25"/>
    <row r="2" spans="2:10" ht="18.75" customHeight="1" thickBot="1" x14ac:dyDescent="0.3">
      <c r="B2" s="3" t="s">
        <v>27</v>
      </c>
      <c r="D2" s="4" t="s">
        <v>31</v>
      </c>
      <c r="E2" s="4"/>
      <c r="F2" s="4"/>
      <c r="G2" s="4"/>
      <c r="H2" s="4"/>
      <c r="I2" s="4"/>
      <c r="J2" s="4"/>
    </row>
    <row r="4" spans="2:10" ht="16.5" customHeight="1" thickBot="1" x14ac:dyDescent="0.3">
      <c r="D4" s="87"/>
      <c r="E4" s="34" t="s">
        <v>6</v>
      </c>
      <c r="F4" s="34" t="s">
        <v>3</v>
      </c>
      <c r="G4" s="34" t="s">
        <v>4</v>
      </c>
      <c r="H4" s="34" t="s">
        <v>14</v>
      </c>
      <c r="I4" s="34" t="s">
        <v>16</v>
      </c>
      <c r="J4" s="35" t="s">
        <v>95</v>
      </c>
    </row>
    <row r="5" spans="2:10" x14ac:dyDescent="0.25">
      <c r="D5" s="88" t="s">
        <v>74</v>
      </c>
      <c r="E5" s="89">
        <v>167878</v>
      </c>
      <c r="F5" s="89">
        <v>161007</v>
      </c>
      <c r="G5" s="89">
        <v>161004</v>
      </c>
      <c r="H5" s="89">
        <v>171657</v>
      </c>
      <c r="I5" s="89">
        <v>172651</v>
      </c>
      <c r="J5" s="40">
        <v>192387.46548167453</v>
      </c>
    </row>
    <row r="6" spans="2:10" x14ac:dyDescent="0.25">
      <c r="D6" s="88" t="s">
        <v>75</v>
      </c>
      <c r="E6" s="89">
        <v>94357</v>
      </c>
      <c r="F6" s="89">
        <v>104548</v>
      </c>
      <c r="G6" s="89">
        <v>113510</v>
      </c>
      <c r="H6" s="89">
        <v>132271</v>
      </c>
      <c r="I6" s="89">
        <v>91899</v>
      </c>
      <c r="J6" s="40">
        <v>91493.386202241541</v>
      </c>
    </row>
    <row r="7" spans="2:10" x14ac:dyDescent="0.25">
      <c r="D7" s="88" t="s">
        <v>76</v>
      </c>
      <c r="E7" s="89">
        <v>15833</v>
      </c>
      <c r="F7" s="89">
        <v>15886</v>
      </c>
      <c r="G7" s="89">
        <v>15291</v>
      </c>
      <c r="H7" s="89">
        <v>13086</v>
      </c>
      <c r="I7" s="89">
        <v>7027</v>
      </c>
      <c r="J7" s="40">
        <v>6075.5740094959874</v>
      </c>
    </row>
    <row r="8" spans="2:10" x14ac:dyDescent="0.25">
      <c r="D8" s="88" t="s">
        <v>77</v>
      </c>
      <c r="E8" s="89">
        <v>1436</v>
      </c>
      <c r="F8" s="89">
        <v>2233</v>
      </c>
      <c r="G8" s="89">
        <v>2778</v>
      </c>
      <c r="H8" s="89">
        <v>3134</v>
      </c>
      <c r="I8" s="89">
        <v>3142</v>
      </c>
      <c r="J8" s="40">
        <v>3499.1737206412099</v>
      </c>
    </row>
    <row r="9" spans="2:10" x14ac:dyDescent="0.25">
      <c r="D9" s="88" t="s">
        <v>78</v>
      </c>
      <c r="E9" s="90">
        <v>-58725</v>
      </c>
      <c r="F9" s="90">
        <v>-62201</v>
      </c>
      <c r="G9" s="90">
        <v>-65218</v>
      </c>
      <c r="H9" s="90">
        <f>H10-SUM(H5:H8)</f>
        <v>-71482</v>
      </c>
      <c r="I9" s="90">
        <f>I10-SUM(I5:I8)</f>
        <v>-55772</v>
      </c>
      <c r="J9" s="40">
        <f>J10-SUM(J5:J8)</f>
        <v>-57125.891537958727</v>
      </c>
    </row>
    <row r="10" spans="2:10" ht="14.25" x14ac:dyDescent="0.25">
      <c r="D10" s="91" t="s">
        <v>79</v>
      </c>
      <c r="E10" s="92">
        <v>220779</v>
      </c>
      <c r="F10" s="92">
        <v>221473</v>
      </c>
      <c r="G10" s="92">
        <v>227365</v>
      </c>
      <c r="H10" s="92">
        <v>248666</v>
      </c>
      <c r="I10" s="92">
        <v>218947</v>
      </c>
      <c r="J10" s="37">
        <v>236329.70787609453</v>
      </c>
    </row>
    <row r="11" spans="2:10" x14ac:dyDescent="0.25">
      <c r="D11" s="88" t="s">
        <v>80</v>
      </c>
      <c r="E11" s="89">
        <v>24796</v>
      </c>
      <c r="F11" s="89">
        <v>26092</v>
      </c>
      <c r="G11" s="89">
        <v>26935</v>
      </c>
      <c r="H11" s="89">
        <v>27166</v>
      </c>
      <c r="I11" s="89">
        <v>27795</v>
      </c>
      <c r="J11" s="40">
        <v>28812.374539499997</v>
      </c>
    </row>
    <row r="12" spans="2:10" ht="14.25" thickBot="1" x14ac:dyDescent="0.3">
      <c r="D12" s="88" t="s">
        <v>81</v>
      </c>
      <c r="E12" s="90">
        <v>-61394</v>
      </c>
      <c r="F12" s="90">
        <v>-61891</v>
      </c>
      <c r="G12" s="90">
        <v>-63575</v>
      </c>
      <c r="H12" s="90">
        <v>-68958</v>
      </c>
      <c r="I12" s="90">
        <v>-61686</v>
      </c>
      <c r="J12" s="40">
        <v>-66285.520603898636</v>
      </c>
    </row>
    <row r="13" spans="2:10" ht="15" thickBot="1" x14ac:dyDescent="0.3">
      <c r="D13" s="79" t="s">
        <v>82</v>
      </c>
      <c r="E13" s="41">
        <v>184181</v>
      </c>
      <c r="F13" s="41">
        <v>185674</v>
      </c>
      <c r="G13" s="41">
        <v>190725</v>
      </c>
      <c r="H13" s="41">
        <v>206874</v>
      </c>
      <c r="I13" s="41">
        <v>185057</v>
      </c>
      <c r="J13" s="42">
        <v>198856.56181169586</v>
      </c>
    </row>
    <row r="14" spans="2:10" ht="9" customHeight="1" x14ac:dyDescent="0.25">
      <c r="D14" s="10"/>
      <c r="E14" s="51"/>
      <c r="F14" s="51"/>
      <c r="G14" s="51"/>
      <c r="H14" s="51"/>
      <c r="I14" s="51"/>
      <c r="J14" s="88"/>
    </row>
    <row r="15" spans="2:10" x14ac:dyDescent="0.25">
      <c r="D15" s="88"/>
      <c r="E15" s="88"/>
      <c r="F15" s="88"/>
      <c r="G15" s="88"/>
      <c r="J15" s="22" t="s">
        <v>29</v>
      </c>
    </row>
    <row r="16" spans="2:10" x14ac:dyDescent="0.25">
      <c r="D16" s="88"/>
      <c r="E16" s="88"/>
      <c r="F16" s="88"/>
      <c r="G16" s="88"/>
      <c r="H16" s="88"/>
      <c r="I16" s="88"/>
      <c r="J16" s="88"/>
    </row>
    <row r="17" spans="4:10" x14ac:dyDescent="0.25">
      <c r="D17" s="88"/>
      <c r="E17" s="88"/>
      <c r="F17" s="88"/>
      <c r="G17" s="88"/>
      <c r="H17" s="88"/>
      <c r="I17" s="88"/>
      <c r="J17" s="88"/>
    </row>
    <row r="18" spans="4:10" ht="15" thickBot="1" x14ac:dyDescent="0.3">
      <c r="D18" s="87"/>
      <c r="E18" s="34" t="s">
        <v>6</v>
      </c>
      <c r="F18" s="34" t="s">
        <v>3</v>
      </c>
      <c r="G18" s="34" t="s">
        <v>4</v>
      </c>
      <c r="H18" s="34" t="s">
        <v>14</v>
      </c>
      <c r="I18" s="34" t="s">
        <v>16</v>
      </c>
      <c r="J18" s="35" t="s">
        <v>95</v>
      </c>
    </row>
    <row r="19" spans="4:10" ht="14.25" x14ac:dyDescent="0.25">
      <c r="D19" s="91" t="s">
        <v>83</v>
      </c>
      <c r="E19" s="92">
        <v>82881</v>
      </c>
      <c r="F19" s="92">
        <v>83553</v>
      </c>
      <c r="G19" s="92">
        <v>85826</v>
      </c>
      <c r="H19" s="92">
        <v>93093</v>
      </c>
      <c r="I19" s="92">
        <v>83275</v>
      </c>
      <c r="J19" s="37">
        <v>89485</v>
      </c>
    </row>
    <row r="20" spans="4:10" ht="14.25" x14ac:dyDescent="0.25">
      <c r="D20" s="91" t="s">
        <v>82</v>
      </c>
      <c r="E20" s="92">
        <f t="shared" ref="E20" si="0">+E13</f>
        <v>184181</v>
      </c>
      <c r="F20" s="92">
        <f t="shared" ref="F20:J20" si="1">+F13</f>
        <v>185674</v>
      </c>
      <c r="G20" s="92">
        <f t="shared" si="1"/>
        <v>190725</v>
      </c>
      <c r="H20" s="92">
        <f t="shared" si="1"/>
        <v>206874</v>
      </c>
      <c r="I20" s="92">
        <f t="shared" si="1"/>
        <v>185057</v>
      </c>
      <c r="J20" s="93">
        <f t="shared" si="1"/>
        <v>198856.56181169586</v>
      </c>
    </row>
    <row r="21" spans="4:10" ht="14.25" x14ac:dyDescent="0.25">
      <c r="D21" s="91"/>
      <c r="E21" s="92"/>
      <c r="F21" s="92"/>
      <c r="G21" s="92"/>
      <c r="H21" s="92"/>
      <c r="I21" s="92"/>
      <c r="J21" s="37"/>
    </row>
    <row r="22" spans="4:10" ht="14.25" x14ac:dyDescent="0.25">
      <c r="D22" s="91" t="s">
        <v>84</v>
      </c>
      <c r="E22" s="92">
        <v>385270.20790162636</v>
      </c>
      <c r="F22" s="92">
        <v>391162.2635219369</v>
      </c>
      <c r="G22" s="92">
        <f>526011.113113886-120000</f>
        <v>406011.11311388598</v>
      </c>
      <c r="H22" s="92">
        <v>384082.53742492298</v>
      </c>
      <c r="I22" s="92">
        <v>347530.79890801519</v>
      </c>
      <c r="J22" s="37">
        <v>358001.8760363349</v>
      </c>
    </row>
    <row r="23" spans="4:10" x14ac:dyDescent="0.25">
      <c r="D23" s="94" t="s">
        <v>85</v>
      </c>
      <c r="E23" s="95">
        <v>1</v>
      </c>
      <c r="F23" s="95">
        <v>1</v>
      </c>
      <c r="G23" s="95">
        <v>1</v>
      </c>
      <c r="H23" s="95">
        <v>1</v>
      </c>
      <c r="I23" s="95">
        <v>1</v>
      </c>
      <c r="J23" s="96">
        <v>1</v>
      </c>
    </row>
    <row r="24" spans="4:10" ht="15" thickBot="1" x14ac:dyDescent="0.3">
      <c r="D24" s="91"/>
      <c r="E24" s="92"/>
      <c r="F24" s="92"/>
      <c r="G24" s="92"/>
      <c r="H24" s="92"/>
      <c r="I24" s="92"/>
      <c r="J24" s="37"/>
    </row>
    <row r="25" spans="4:10" ht="14.25" x14ac:dyDescent="0.25">
      <c r="D25" s="72" t="s">
        <v>86</v>
      </c>
      <c r="E25" s="97">
        <f t="shared" ref="E25" si="2">+E22/E19</f>
        <v>4.6484744139383736</v>
      </c>
      <c r="F25" s="97">
        <f t="shared" ref="F25:J25" si="3">+F22/F19</f>
        <v>4.6816064476671917</v>
      </c>
      <c r="G25" s="97">
        <f t="shared" si="3"/>
        <v>4.7306307309426741</v>
      </c>
      <c r="H25" s="97">
        <f t="shared" si="3"/>
        <v>4.1257939632939422</v>
      </c>
      <c r="I25" s="97">
        <f t="shared" si="3"/>
        <v>4.1732908905195458</v>
      </c>
      <c r="J25" s="98">
        <f t="shared" si="3"/>
        <v>4.0006914682498174</v>
      </c>
    </row>
    <row r="26" spans="4:10" ht="15" thickBot="1" x14ac:dyDescent="0.3">
      <c r="D26" s="76" t="s">
        <v>87</v>
      </c>
      <c r="E26" s="99">
        <f t="shared" ref="E26:J26" si="4">+E22/E13</f>
        <v>2.0918021288929172</v>
      </c>
      <c r="F26" s="99">
        <f t="shared" si="4"/>
        <v>2.1067153372143483</v>
      </c>
      <c r="G26" s="99">
        <f t="shared" si="4"/>
        <v>2.1287776280712332</v>
      </c>
      <c r="H26" s="99">
        <f t="shared" si="4"/>
        <v>1.8566013004288744</v>
      </c>
      <c r="I26" s="99">
        <f t="shared" si="4"/>
        <v>1.8779662423362271</v>
      </c>
      <c r="J26" s="100">
        <f t="shared" si="4"/>
        <v>1.8003020507582708</v>
      </c>
    </row>
    <row r="27" spans="4:10" ht="9" customHeight="1" x14ac:dyDescent="0.25">
      <c r="D27" s="10"/>
      <c r="E27" s="51"/>
      <c r="F27" s="51"/>
      <c r="G27" s="51"/>
      <c r="H27" s="51"/>
      <c r="I27" s="51"/>
      <c r="J27" s="101"/>
    </row>
    <row r="28" spans="4:10" x14ac:dyDescent="0.25">
      <c r="D28" s="88"/>
      <c r="E28" s="88"/>
      <c r="F28" s="88"/>
      <c r="G28" s="88"/>
      <c r="J28" s="22" t="s">
        <v>29</v>
      </c>
    </row>
    <row r="30" spans="4:10" x14ac:dyDescent="0.25">
      <c r="J30" s="102"/>
    </row>
  </sheetData>
  <hyperlinks>
    <hyperlink ref="B2" location="'Suplemento Financiero&gt;&gt;&gt;'!A1" display="ÍNDICE" xr:uid="{4680C051-957A-4CA0-BA37-103E96ED3026}"/>
  </hyperlinks>
  <pageMargins left="0.7" right="0.7" top="0.75" bottom="0.75" header="0.3" footer="0.3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K55"/>
  <sheetViews>
    <sheetView showGridLines="0" zoomScaleNormal="100" workbookViewId="0">
      <selection activeCell="B2" sqref="B2"/>
    </sheetView>
  </sheetViews>
  <sheetFormatPr baseColWidth="10" defaultColWidth="10.85546875" defaultRowHeight="13.5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39" style="1" customWidth="1"/>
    <col min="5" max="9" width="13.5703125" style="1" customWidth="1"/>
    <col min="10" max="10" width="9.7109375" style="1" customWidth="1"/>
    <col min="11" max="16384" width="10.85546875" style="1"/>
  </cols>
  <sheetData>
    <row r="1" spans="2:11" ht="16.5" customHeight="1" x14ac:dyDescent="0.25"/>
    <row r="2" spans="2:11" ht="18.75" customHeight="1" thickBot="1" x14ac:dyDescent="0.3">
      <c r="B2" s="3" t="s">
        <v>27</v>
      </c>
      <c r="D2" s="4" t="s">
        <v>32</v>
      </c>
      <c r="E2" s="4"/>
      <c r="F2" s="4"/>
      <c r="G2" s="4"/>
      <c r="H2" s="4"/>
      <c r="I2" s="4"/>
      <c r="J2" s="4"/>
      <c r="K2" s="4"/>
    </row>
    <row r="4" spans="2:11" ht="15" thickBot="1" x14ac:dyDescent="0.3">
      <c r="D4" s="6"/>
      <c r="E4" s="61" t="s">
        <v>6</v>
      </c>
      <c r="F4" s="61" t="s">
        <v>3</v>
      </c>
      <c r="G4" s="61" t="s">
        <v>4</v>
      </c>
      <c r="H4" s="61" t="s">
        <v>14</v>
      </c>
      <c r="I4" s="61" t="s">
        <v>16</v>
      </c>
      <c r="J4" s="172" t="s">
        <v>95</v>
      </c>
      <c r="K4" s="173"/>
    </row>
    <row r="5" spans="2:11" ht="14.25" x14ac:dyDescent="0.25">
      <c r="D5" s="62" t="s">
        <v>46</v>
      </c>
      <c r="E5" s="63">
        <f t="shared" ref="E5:J5" si="0">E6+E13</f>
        <v>696945.09054</v>
      </c>
      <c r="F5" s="63">
        <f t="shared" si="0"/>
        <v>720797.13546999998</v>
      </c>
      <c r="G5" s="63">
        <f t="shared" si="0"/>
        <v>801209.28558999998</v>
      </c>
      <c r="H5" s="63">
        <f t="shared" si="0"/>
        <v>722005</v>
      </c>
      <c r="I5" s="63">
        <f t="shared" si="0"/>
        <v>618778</v>
      </c>
      <c r="J5" s="64">
        <f t="shared" si="0"/>
        <v>759821</v>
      </c>
      <c r="K5" s="65">
        <f>J5/J$22</f>
        <v>0.81189080488018583</v>
      </c>
    </row>
    <row r="6" spans="2:11" ht="14.25" x14ac:dyDescent="0.25">
      <c r="D6" s="66" t="s">
        <v>47</v>
      </c>
      <c r="E6" s="63">
        <f t="shared" ref="E6:J6" si="1">SUM(E7:E12)</f>
        <v>397566.68119000003</v>
      </c>
      <c r="F6" s="63">
        <f t="shared" si="1"/>
        <v>394655.81483999995</v>
      </c>
      <c r="G6" s="63">
        <f t="shared" si="1"/>
        <v>438763.14398999995</v>
      </c>
      <c r="H6" s="63">
        <f t="shared" si="1"/>
        <v>396345</v>
      </c>
      <c r="I6" s="63">
        <f t="shared" si="1"/>
        <v>356496</v>
      </c>
      <c r="J6" s="64">
        <f t="shared" si="1"/>
        <v>380665</v>
      </c>
      <c r="K6" s="65">
        <f t="shared" ref="K6:K21" si="2">J6/J$22</f>
        <v>0.40675160760194301</v>
      </c>
    </row>
    <row r="7" spans="2:11" x14ac:dyDescent="0.25">
      <c r="D7" s="67" t="s">
        <v>48</v>
      </c>
      <c r="E7" s="68">
        <v>263898.88505000004</v>
      </c>
      <c r="F7" s="68">
        <v>247394.05644000001</v>
      </c>
      <c r="G7" s="68">
        <v>216811.94155999995</v>
      </c>
      <c r="H7" s="68">
        <v>184414</v>
      </c>
      <c r="I7" s="68">
        <v>168561</v>
      </c>
      <c r="J7" s="69">
        <v>158454</v>
      </c>
      <c r="K7" s="70">
        <f t="shared" si="2"/>
        <v>0.16931270074989369</v>
      </c>
    </row>
    <row r="8" spans="2:11" x14ac:dyDescent="0.25">
      <c r="D8" s="67" t="s">
        <v>49</v>
      </c>
      <c r="E8" s="68">
        <v>80202.5</v>
      </c>
      <c r="F8" s="68">
        <v>91853.940789999993</v>
      </c>
      <c r="G8" s="68">
        <v>157271.44813</v>
      </c>
      <c r="H8" s="68">
        <v>150362</v>
      </c>
      <c r="I8" s="68">
        <v>132418</v>
      </c>
      <c r="J8" s="69">
        <v>137437</v>
      </c>
      <c r="K8" s="70">
        <f t="shared" si="2"/>
        <v>0.14685542588362008</v>
      </c>
    </row>
    <row r="9" spans="2:11" x14ac:dyDescent="0.25">
      <c r="D9" s="67" t="s">
        <v>5</v>
      </c>
      <c r="E9" s="68">
        <v>47496.68894</v>
      </c>
      <c r="F9" s="68">
        <v>48972.218159999997</v>
      </c>
      <c r="G9" s="68">
        <v>57670.556810000002</v>
      </c>
      <c r="H9" s="68">
        <v>47717</v>
      </c>
      <c r="I9" s="68">
        <v>44593</v>
      </c>
      <c r="J9" s="69">
        <v>14779</v>
      </c>
      <c r="K9" s="70">
        <f t="shared" si="2"/>
        <v>1.5791790705079575E-2</v>
      </c>
    </row>
    <row r="10" spans="2:11" x14ac:dyDescent="0.25">
      <c r="D10" s="67" t="s">
        <v>50</v>
      </c>
      <c r="E10" s="68">
        <v>4214.27945</v>
      </c>
      <c r="F10" s="68">
        <v>4648.5994499999997</v>
      </c>
      <c r="G10" s="71">
        <v>0</v>
      </c>
      <c r="H10" s="71">
        <v>0</v>
      </c>
      <c r="I10" s="71">
        <v>0</v>
      </c>
      <c r="J10" s="69">
        <v>0</v>
      </c>
      <c r="K10" s="70">
        <f t="shared" si="2"/>
        <v>0</v>
      </c>
    </row>
    <row r="11" spans="2:11" x14ac:dyDescent="0.25">
      <c r="D11" s="67" t="s">
        <v>51</v>
      </c>
      <c r="E11" s="68">
        <v>1754.3277499999999</v>
      </c>
      <c r="F11" s="68">
        <v>1787</v>
      </c>
      <c r="G11" s="68">
        <v>1629.18226</v>
      </c>
      <c r="H11" s="68">
        <v>2965</v>
      </c>
      <c r="I11" s="68">
        <v>989</v>
      </c>
      <c r="J11" s="69">
        <v>997</v>
      </c>
      <c r="K11" s="70">
        <f t="shared" si="2"/>
        <v>1.0653234544261679E-3</v>
      </c>
    </row>
    <row r="12" spans="2:11" x14ac:dyDescent="0.25">
      <c r="D12" s="67" t="s">
        <v>52</v>
      </c>
      <c r="E12" s="71">
        <v>0</v>
      </c>
      <c r="F12" s="71">
        <v>0</v>
      </c>
      <c r="G12" s="68">
        <v>5380.01523</v>
      </c>
      <c r="H12" s="68">
        <v>10887</v>
      </c>
      <c r="I12" s="68">
        <v>9935</v>
      </c>
      <c r="J12" s="69">
        <v>68998</v>
      </c>
      <c r="K12" s="70">
        <f t="shared" si="2"/>
        <v>7.3726366808923499E-2</v>
      </c>
    </row>
    <row r="13" spans="2:11" ht="14.25" x14ac:dyDescent="0.25">
      <c r="D13" s="66" t="s">
        <v>53</v>
      </c>
      <c r="E13" s="63">
        <f t="shared" ref="E13:J13" si="3">SUM(E14:E17)</f>
        <v>299378.40934999997</v>
      </c>
      <c r="F13" s="63">
        <f t="shared" si="3"/>
        <v>326141.32063000003</v>
      </c>
      <c r="G13" s="63">
        <f t="shared" si="3"/>
        <v>362446.14160000003</v>
      </c>
      <c r="H13" s="63">
        <f t="shared" si="3"/>
        <v>325660</v>
      </c>
      <c r="I13" s="63">
        <f t="shared" si="3"/>
        <v>262282</v>
      </c>
      <c r="J13" s="64">
        <f t="shared" si="3"/>
        <v>379156</v>
      </c>
      <c r="K13" s="65">
        <f t="shared" si="2"/>
        <v>0.40513919727824282</v>
      </c>
    </row>
    <row r="14" spans="2:11" x14ac:dyDescent="0.25">
      <c r="D14" s="67" t="s">
        <v>48</v>
      </c>
      <c r="E14" s="68">
        <v>137460.92869</v>
      </c>
      <c r="F14" s="68">
        <v>169933.97990999999</v>
      </c>
      <c r="G14" s="68">
        <v>199091</v>
      </c>
      <c r="H14" s="68">
        <v>161222</v>
      </c>
      <c r="I14" s="68">
        <v>132278</v>
      </c>
      <c r="J14" s="69">
        <v>189240</v>
      </c>
      <c r="K14" s="70">
        <f t="shared" si="2"/>
        <v>0.20220843582307724</v>
      </c>
    </row>
    <row r="15" spans="2:11" x14ac:dyDescent="0.25">
      <c r="D15" s="67" t="s">
        <v>54</v>
      </c>
      <c r="E15" s="68">
        <v>130336.4</v>
      </c>
      <c r="F15" s="68">
        <v>123472.05232</v>
      </c>
      <c r="G15" s="68">
        <v>137084.19157</v>
      </c>
      <c r="H15" s="68">
        <v>112100</v>
      </c>
      <c r="I15" s="68">
        <v>89057</v>
      </c>
      <c r="J15" s="69">
        <v>118929</v>
      </c>
      <c r="K15" s="70">
        <f t="shared" si="2"/>
        <v>0.12707909038259751</v>
      </c>
    </row>
    <row r="16" spans="2:11" x14ac:dyDescent="0.25">
      <c r="D16" s="67" t="s">
        <v>55</v>
      </c>
      <c r="E16" s="71">
        <v>0</v>
      </c>
      <c r="F16" s="71">
        <v>0</v>
      </c>
      <c r="G16" s="71">
        <v>0</v>
      </c>
      <c r="H16" s="68">
        <v>22386</v>
      </c>
      <c r="I16" s="68">
        <v>13527</v>
      </c>
      <c r="J16" s="69">
        <v>22956</v>
      </c>
      <c r="K16" s="70">
        <f t="shared" si="2"/>
        <v>2.4529152677840629E-2</v>
      </c>
    </row>
    <row r="17" spans="4:11" x14ac:dyDescent="0.25">
      <c r="D17" s="67" t="s">
        <v>56</v>
      </c>
      <c r="E17" s="68">
        <v>31581.080659999996</v>
      </c>
      <c r="F17" s="68">
        <v>32735.288400000001</v>
      </c>
      <c r="G17" s="68">
        <v>26270.950030000004</v>
      </c>
      <c r="H17" s="68">
        <v>29952</v>
      </c>
      <c r="I17" s="68">
        <v>27420</v>
      </c>
      <c r="J17" s="69">
        <v>48031</v>
      </c>
      <c r="K17" s="70">
        <f t="shared" si="2"/>
        <v>5.132251839472745E-2</v>
      </c>
    </row>
    <row r="18" spans="4:11" ht="14.25" x14ac:dyDescent="0.25">
      <c r="D18" s="62" t="s">
        <v>57</v>
      </c>
      <c r="E18" s="63">
        <v>45094</v>
      </c>
      <c r="F18" s="63">
        <v>59231</v>
      </c>
      <c r="G18" s="63">
        <v>60536</v>
      </c>
      <c r="H18" s="63">
        <v>75237</v>
      </c>
      <c r="I18" s="63">
        <v>72074</v>
      </c>
      <c r="J18" s="64">
        <v>63552</v>
      </c>
      <c r="K18" s="65">
        <f t="shared" si="2"/>
        <v>6.7907157648637737E-2</v>
      </c>
    </row>
    <row r="19" spans="4:11" x14ac:dyDescent="0.25">
      <c r="D19" s="67" t="s">
        <v>58</v>
      </c>
      <c r="E19" s="68">
        <v>10300</v>
      </c>
      <c r="F19" s="68">
        <v>19416</v>
      </c>
      <c r="G19" s="68">
        <v>19795</v>
      </c>
      <c r="H19" s="68">
        <v>19654</v>
      </c>
      <c r="I19" s="68">
        <v>30340</v>
      </c>
      <c r="J19" s="69">
        <v>29532</v>
      </c>
      <c r="K19" s="70">
        <f t="shared" si="2"/>
        <v>3.1555799655078827E-2</v>
      </c>
    </row>
    <row r="20" spans="4:11" ht="14.25" x14ac:dyDescent="0.25">
      <c r="D20" s="62" t="s">
        <v>59</v>
      </c>
      <c r="E20" s="63">
        <v>43669</v>
      </c>
      <c r="F20" s="63">
        <v>57457</v>
      </c>
      <c r="G20" s="63">
        <v>65319</v>
      </c>
      <c r="H20" s="63">
        <v>78726</v>
      </c>
      <c r="I20" s="63">
        <v>48812</v>
      </c>
      <c r="J20" s="64">
        <v>53970</v>
      </c>
      <c r="K20" s="65">
        <f t="shared" si="2"/>
        <v>5.7668512372497774E-2</v>
      </c>
    </row>
    <row r="21" spans="4:11" ht="15" thickBot="1" x14ac:dyDescent="0.3">
      <c r="D21" s="62" t="s">
        <v>60</v>
      </c>
      <c r="E21" s="63">
        <v>67458</v>
      </c>
      <c r="F21" s="63">
        <v>66670</v>
      </c>
      <c r="G21" s="63">
        <v>65947.506580000001</v>
      </c>
      <c r="H21" s="63">
        <v>65457</v>
      </c>
      <c r="I21" s="63">
        <v>64676</v>
      </c>
      <c r="J21" s="64">
        <v>58523</v>
      </c>
      <c r="K21" s="65">
        <f t="shared" si="2"/>
        <v>6.2533525098678655E-2</v>
      </c>
    </row>
    <row r="22" spans="4:11" ht="14.25" x14ac:dyDescent="0.25">
      <c r="D22" s="72" t="s">
        <v>61</v>
      </c>
      <c r="E22" s="73">
        <f t="shared" ref="E22:G22" si="4">E5+E18+E20+E21</f>
        <v>853166.09054</v>
      </c>
      <c r="F22" s="73">
        <f t="shared" si="4"/>
        <v>904155.13546999998</v>
      </c>
      <c r="G22" s="73">
        <f t="shared" si="4"/>
        <v>993011.79217000003</v>
      </c>
      <c r="H22" s="73">
        <f>H5+H18+H20+H21</f>
        <v>941425</v>
      </c>
      <c r="I22" s="73">
        <f t="shared" ref="I22:J22" si="5">I5+I18+I20+I21</f>
        <v>804340</v>
      </c>
      <c r="J22" s="74">
        <f t="shared" si="5"/>
        <v>935866</v>
      </c>
      <c r="K22" s="75">
        <f>K5+K18+K20+K21</f>
        <v>1</v>
      </c>
    </row>
    <row r="23" spans="4:11" ht="15" thickBot="1" x14ac:dyDescent="0.3">
      <c r="D23" s="76" t="s">
        <v>62</v>
      </c>
      <c r="E23" s="63">
        <v>166776</v>
      </c>
      <c r="F23" s="63">
        <v>144937</v>
      </c>
      <c r="G23" s="63">
        <v>162500</v>
      </c>
      <c r="H23" s="63">
        <v>115788</v>
      </c>
      <c r="I23" s="63">
        <v>51661</v>
      </c>
      <c r="J23" s="77">
        <v>41746</v>
      </c>
      <c r="K23" s="78" t="s">
        <v>7</v>
      </c>
    </row>
    <row r="24" spans="4:11" ht="15" thickBot="1" x14ac:dyDescent="0.3">
      <c r="D24" s="79" t="s">
        <v>1</v>
      </c>
      <c r="E24" s="80">
        <f t="shared" ref="E24:H24" si="6">E22+E23</f>
        <v>1019942.09054</v>
      </c>
      <c r="F24" s="80">
        <f t="shared" si="6"/>
        <v>1049092.1354700001</v>
      </c>
      <c r="G24" s="80">
        <f t="shared" si="6"/>
        <v>1155511.79217</v>
      </c>
      <c r="H24" s="80">
        <f t="shared" si="6"/>
        <v>1057213</v>
      </c>
      <c r="I24" s="80">
        <f>I22+I23</f>
        <v>856001</v>
      </c>
      <c r="J24" s="81">
        <f>J22+J23</f>
        <v>977612</v>
      </c>
      <c r="K24" s="82" t="s">
        <v>7</v>
      </c>
    </row>
    <row r="25" spans="4:11" ht="9" customHeight="1" x14ac:dyDescent="0.25">
      <c r="D25" s="10"/>
      <c r="E25" s="51"/>
      <c r="F25" s="51"/>
      <c r="G25" s="51"/>
      <c r="H25" s="51"/>
      <c r="I25" s="51"/>
      <c r="J25" s="63"/>
    </row>
    <row r="26" spans="4:11" x14ac:dyDescent="0.25">
      <c r="D26" s="20"/>
      <c r="E26" s="20"/>
      <c r="F26" s="20"/>
      <c r="G26" s="20"/>
      <c r="H26" s="20"/>
      <c r="I26" s="20"/>
      <c r="J26" s="22"/>
      <c r="K26" s="22" t="s">
        <v>29</v>
      </c>
    </row>
    <row r="29" spans="4:11" ht="15" thickBot="1" x14ac:dyDescent="0.3">
      <c r="D29" s="83" t="s">
        <v>46</v>
      </c>
      <c r="E29" s="61" t="s">
        <v>6</v>
      </c>
      <c r="F29" s="61" t="s">
        <v>3</v>
      </c>
      <c r="G29" s="61" t="s">
        <v>4</v>
      </c>
      <c r="H29" s="61" t="s">
        <v>14</v>
      </c>
      <c r="I29" s="61" t="s">
        <v>16</v>
      </c>
      <c r="J29" s="172" t="s">
        <v>95</v>
      </c>
      <c r="K29" s="173"/>
    </row>
    <row r="30" spans="4:11" x14ac:dyDescent="0.25">
      <c r="D30" s="84" t="s">
        <v>8</v>
      </c>
      <c r="E30" s="68">
        <v>1754.3277499999999</v>
      </c>
      <c r="F30" s="68">
        <v>1787.1552300000001</v>
      </c>
      <c r="G30" s="68">
        <v>3072.0408299999999</v>
      </c>
      <c r="H30" s="68">
        <v>6342</v>
      </c>
      <c r="I30" s="68">
        <v>13304</v>
      </c>
      <c r="J30" s="69">
        <v>55512</v>
      </c>
      <c r="K30" s="70">
        <f>J30/$J$36</f>
        <v>7.3059312653901379E-2</v>
      </c>
    </row>
    <row r="31" spans="4:11" x14ac:dyDescent="0.25">
      <c r="D31" s="84" t="s">
        <v>9</v>
      </c>
      <c r="E31" s="68">
        <v>11947.257000000001</v>
      </c>
      <c r="F31" s="68">
        <v>3784.2071800000003</v>
      </c>
      <c r="G31" s="68">
        <v>7381.8541700000005</v>
      </c>
      <c r="H31" s="68">
        <v>10093</v>
      </c>
      <c r="I31" s="68">
        <v>11264</v>
      </c>
      <c r="J31" s="69">
        <v>55624</v>
      </c>
      <c r="K31" s="70">
        <f t="shared" ref="K31:K35" si="7">J31/$J$36</f>
        <v>7.3206715792272128E-2</v>
      </c>
    </row>
    <row r="32" spans="4:11" x14ac:dyDescent="0.25">
      <c r="D32" s="84" t="s">
        <v>10</v>
      </c>
      <c r="E32" s="68">
        <v>317688.88505000004</v>
      </c>
      <c r="F32" s="68">
        <v>301027.18516999995</v>
      </c>
      <c r="G32" s="68">
        <v>353119.78262999991</v>
      </c>
      <c r="H32" s="68">
        <v>296736</v>
      </c>
      <c r="I32" s="68">
        <v>271885</v>
      </c>
      <c r="J32" s="69">
        <v>324000</v>
      </c>
      <c r="K32" s="70">
        <f t="shared" si="7"/>
        <v>0.42641622171537769</v>
      </c>
    </row>
    <row r="33" spans="4:11" x14ac:dyDescent="0.25">
      <c r="D33" s="84" t="s">
        <v>11</v>
      </c>
      <c r="E33" s="68">
        <v>259911.57834000001</v>
      </c>
      <c r="F33" s="68">
        <v>354378.54846999998</v>
      </c>
      <c r="G33" s="68">
        <v>380743.04191000003</v>
      </c>
      <c r="H33" s="68">
        <v>363123</v>
      </c>
      <c r="I33" s="68">
        <v>301197</v>
      </c>
      <c r="J33" s="69">
        <v>305885</v>
      </c>
      <c r="K33" s="70">
        <f t="shared" si="7"/>
        <v>0.40257508018335897</v>
      </c>
    </row>
    <row r="34" spans="4:11" x14ac:dyDescent="0.25">
      <c r="D34" s="84" t="s">
        <v>63</v>
      </c>
      <c r="E34" s="68">
        <v>88362</v>
      </c>
      <c r="F34" s="68">
        <v>21373.307949999999</v>
      </c>
      <c r="G34" s="68">
        <v>26532.45349</v>
      </c>
      <c r="H34" s="68">
        <v>27990</v>
      </c>
      <c r="I34" s="68">
        <v>10359</v>
      </c>
      <c r="J34" s="69">
        <v>12740</v>
      </c>
      <c r="K34" s="70">
        <f t="shared" si="7"/>
        <v>1.6767106989672566E-2</v>
      </c>
    </row>
    <row r="35" spans="4:11" ht="14.25" thickBot="1" x14ac:dyDescent="0.3">
      <c r="D35" s="85" t="s">
        <v>64</v>
      </c>
      <c r="E35" s="68">
        <v>17281</v>
      </c>
      <c r="F35" s="68">
        <v>38446.88670000001</v>
      </c>
      <c r="G35" s="68">
        <v>30360</v>
      </c>
      <c r="H35" s="68">
        <v>17721</v>
      </c>
      <c r="I35" s="68">
        <v>10769</v>
      </c>
      <c r="J35" s="69">
        <v>6060</v>
      </c>
      <c r="K35" s="70">
        <f t="shared" si="7"/>
        <v>7.9755626654172494E-3</v>
      </c>
    </row>
    <row r="36" spans="4:11" ht="15" thickBot="1" x14ac:dyDescent="0.3">
      <c r="D36" s="79" t="s">
        <v>1</v>
      </c>
      <c r="E36" s="80">
        <f>SUM(E30:E35)</f>
        <v>696945.04814000009</v>
      </c>
      <c r="F36" s="80">
        <f t="shared" ref="F36:H36" si="8">SUM(F30:F35)</f>
        <v>720797.29070000001</v>
      </c>
      <c r="G36" s="80">
        <f t="shared" si="8"/>
        <v>801209.17302999995</v>
      </c>
      <c r="H36" s="80">
        <f t="shared" si="8"/>
        <v>722005</v>
      </c>
      <c r="I36" s="80">
        <f>SUM(I30:I35)</f>
        <v>618778</v>
      </c>
      <c r="J36" s="81">
        <f>SUM(J30:J35)</f>
        <v>759821</v>
      </c>
      <c r="K36" s="82">
        <f>SUM(K30:K35)</f>
        <v>0.99999999999999989</v>
      </c>
    </row>
    <row r="37" spans="4:11" ht="9" customHeight="1" x14ac:dyDescent="0.25">
      <c r="D37" s="10"/>
      <c r="E37" s="51"/>
      <c r="F37" s="51"/>
      <c r="G37" s="51"/>
      <c r="H37" s="51"/>
      <c r="I37" s="51"/>
      <c r="J37" s="63"/>
    </row>
    <row r="38" spans="4:11" x14ac:dyDescent="0.25">
      <c r="J38" s="22"/>
      <c r="K38" s="22" t="s">
        <v>29</v>
      </c>
    </row>
    <row r="41" spans="4:11" ht="15" thickBot="1" x14ac:dyDescent="0.3">
      <c r="D41" s="83" t="s">
        <v>57</v>
      </c>
      <c r="E41" s="61" t="s">
        <v>6</v>
      </c>
      <c r="F41" s="61" t="s">
        <v>3</v>
      </c>
      <c r="G41" s="61" t="s">
        <v>4</v>
      </c>
      <c r="H41" s="61" t="s">
        <v>14</v>
      </c>
      <c r="I41" s="61" t="s">
        <v>16</v>
      </c>
      <c r="J41" s="172" t="s">
        <v>95</v>
      </c>
      <c r="K41" s="173"/>
    </row>
    <row r="42" spans="4:11" x14ac:dyDescent="0.25">
      <c r="D42" s="84" t="s">
        <v>65</v>
      </c>
      <c r="E42" s="68">
        <v>10300</v>
      </c>
      <c r="F42" s="68">
        <v>32761.487000000001</v>
      </c>
      <c r="G42" s="68">
        <v>20803</v>
      </c>
      <c r="H42" s="68">
        <v>43352</v>
      </c>
      <c r="I42" s="68">
        <v>46527</v>
      </c>
      <c r="J42" s="69">
        <v>45072.824820000002</v>
      </c>
      <c r="K42" s="70">
        <f>J42/$J$53</f>
        <v>0.70922651887002253</v>
      </c>
    </row>
    <row r="43" spans="4:11" x14ac:dyDescent="0.25">
      <c r="D43" s="86" t="s">
        <v>58</v>
      </c>
      <c r="E43" s="68">
        <v>10300</v>
      </c>
      <c r="F43" s="68">
        <v>19416.487000000001</v>
      </c>
      <c r="G43" s="68">
        <v>19795</v>
      </c>
      <c r="H43" s="68">
        <v>19654</v>
      </c>
      <c r="I43" s="68">
        <v>30340</v>
      </c>
      <c r="J43" s="69">
        <v>29532.179499999998</v>
      </c>
      <c r="K43" s="70">
        <f t="shared" ref="K43:K52" si="9">J43/$J$53</f>
        <v>0.46469252692890439</v>
      </c>
    </row>
    <row r="44" spans="4:11" x14ac:dyDescent="0.25">
      <c r="D44" s="84" t="s">
        <v>66</v>
      </c>
      <c r="E44" s="68">
        <v>9142</v>
      </c>
      <c r="F44" s="68">
        <v>5850.9550600000002</v>
      </c>
      <c r="G44" s="68">
        <v>18320</v>
      </c>
      <c r="H44" s="68">
        <v>5778</v>
      </c>
      <c r="I44" s="68">
        <v>5355</v>
      </c>
      <c r="J44" s="69">
        <v>5000.7303099999999</v>
      </c>
      <c r="K44" s="70">
        <f t="shared" si="9"/>
        <v>7.8687114990746404E-2</v>
      </c>
    </row>
    <row r="45" spans="4:11" x14ac:dyDescent="0.25">
      <c r="D45" s="84" t="s">
        <v>67</v>
      </c>
      <c r="E45" s="68">
        <v>5385</v>
      </c>
      <c r="F45" s="68">
        <v>5567.7613636297901</v>
      </c>
      <c r="G45" s="68">
        <v>5304</v>
      </c>
      <c r="H45" s="68">
        <v>5461</v>
      </c>
      <c r="I45" s="68">
        <v>3350</v>
      </c>
      <c r="J45" s="69">
        <v>2560.2052699999999</v>
      </c>
      <c r="K45" s="70">
        <f t="shared" si="9"/>
        <v>4.0285149166623409E-2</v>
      </c>
    </row>
    <row r="46" spans="4:11" x14ac:dyDescent="0.25">
      <c r="D46" s="84" t="s">
        <v>12</v>
      </c>
      <c r="E46" s="68">
        <v>4490</v>
      </c>
      <c r="F46" s="68">
        <v>4964.6156432375501</v>
      </c>
      <c r="G46" s="68">
        <v>6155</v>
      </c>
      <c r="H46" s="68">
        <v>10515</v>
      </c>
      <c r="I46" s="68">
        <v>6466</v>
      </c>
      <c r="J46" s="69">
        <v>2591.5097999999998</v>
      </c>
      <c r="K46" s="70">
        <f t="shared" si="9"/>
        <v>4.0777729849671936E-2</v>
      </c>
    </row>
    <row r="47" spans="4:11" x14ac:dyDescent="0.25">
      <c r="D47" s="84" t="s">
        <v>68</v>
      </c>
      <c r="E47" s="68">
        <v>1336</v>
      </c>
      <c r="F47" s="68">
        <v>3889.5391</v>
      </c>
      <c r="G47" s="68">
        <v>1302</v>
      </c>
      <c r="H47" s="68">
        <v>1410</v>
      </c>
      <c r="I47" s="68">
        <v>2716</v>
      </c>
      <c r="J47" s="69">
        <v>1638.19067</v>
      </c>
      <c r="K47" s="70">
        <f t="shared" si="9"/>
        <v>2.5777134465597262E-2</v>
      </c>
    </row>
    <row r="48" spans="4:11" x14ac:dyDescent="0.25">
      <c r="D48" s="84" t="s">
        <v>69</v>
      </c>
      <c r="E48" s="68">
        <v>4544</v>
      </c>
      <c r="F48" s="68">
        <v>3702.924</v>
      </c>
      <c r="G48" s="68">
        <v>3394</v>
      </c>
      <c r="H48" s="71">
        <v>0</v>
      </c>
      <c r="I48" s="71">
        <v>0</v>
      </c>
      <c r="J48" s="69">
        <v>0</v>
      </c>
      <c r="K48" s="70">
        <f t="shared" si="9"/>
        <v>0</v>
      </c>
    </row>
    <row r="49" spans="4:11" x14ac:dyDescent="0.25">
      <c r="D49" s="84" t="s">
        <v>70</v>
      </c>
      <c r="E49" s="68">
        <v>3986</v>
      </c>
      <c r="F49" s="68">
        <v>1169.0634</v>
      </c>
      <c r="G49" s="71">
        <v>0</v>
      </c>
      <c r="H49" s="71">
        <v>1454</v>
      </c>
      <c r="I49" s="71">
        <v>1833</v>
      </c>
      <c r="J49" s="69">
        <v>2936.36951</v>
      </c>
      <c r="K49" s="70">
        <f t="shared" si="9"/>
        <v>4.6204140388584898E-2</v>
      </c>
    </row>
    <row r="50" spans="4:11" x14ac:dyDescent="0.25">
      <c r="D50" s="84" t="s">
        <v>71</v>
      </c>
      <c r="E50" s="68">
        <v>4202</v>
      </c>
      <c r="F50" s="68">
        <v>1159.7223603899999</v>
      </c>
      <c r="G50" s="68">
        <v>3612</v>
      </c>
      <c r="H50" s="68">
        <v>5293</v>
      </c>
      <c r="I50" s="68">
        <v>3084</v>
      </c>
      <c r="J50" s="69">
        <v>2108.2776099999996</v>
      </c>
      <c r="K50" s="70">
        <f t="shared" si="9"/>
        <v>3.3174011083690287E-2</v>
      </c>
    </row>
    <row r="51" spans="4:11" x14ac:dyDescent="0.25">
      <c r="D51" s="84" t="s">
        <v>72</v>
      </c>
      <c r="E51" s="68">
        <v>1709</v>
      </c>
      <c r="F51" s="68">
        <v>164.73599999999999</v>
      </c>
      <c r="G51" s="68">
        <v>1137</v>
      </c>
      <c r="H51" s="68">
        <v>1333</v>
      </c>
      <c r="I51" s="68">
        <v>2223</v>
      </c>
      <c r="J51" s="69">
        <v>1228.8699999999999</v>
      </c>
      <c r="K51" s="70">
        <f t="shared" si="9"/>
        <v>1.9336422683165756E-2</v>
      </c>
    </row>
    <row r="52" spans="4:11" ht="14.25" thickBot="1" x14ac:dyDescent="0.3">
      <c r="D52" s="85" t="s">
        <v>73</v>
      </c>
      <c r="E52" s="71">
        <v>0</v>
      </c>
      <c r="F52" s="71">
        <v>0</v>
      </c>
      <c r="G52" s="68">
        <v>509</v>
      </c>
      <c r="H52" s="68">
        <v>641</v>
      </c>
      <c r="I52" s="68">
        <v>520</v>
      </c>
      <c r="J52" s="69">
        <v>415.10815000000002</v>
      </c>
      <c r="K52" s="70">
        <f t="shared" si="9"/>
        <v>6.5317785018976574E-3</v>
      </c>
    </row>
    <row r="53" spans="4:11" ht="15" thickBot="1" x14ac:dyDescent="0.3">
      <c r="D53" s="79" t="s">
        <v>1</v>
      </c>
      <c r="E53" s="80">
        <f t="shared" ref="E53" si="10">SUM(E42,E44:E52)</f>
        <v>45094</v>
      </c>
      <c r="F53" s="80">
        <f>SUM(F42,F44:F52)</f>
        <v>59230.803927257337</v>
      </c>
      <c r="G53" s="80">
        <f t="shared" ref="G53:H53" si="11">SUM(G42,G44:G52)</f>
        <v>60536</v>
      </c>
      <c r="H53" s="80">
        <f t="shared" si="11"/>
        <v>75237</v>
      </c>
      <c r="I53" s="80">
        <f t="shared" ref="I53:K53" si="12">SUM(I42,I44:I52)</f>
        <v>72074</v>
      </c>
      <c r="J53" s="81">
        <f t="shared" si="12"/>
        <v>63552.086139999992</v>
      </c>
      <c r="K53" s="82">
        <f t="shared" si="12"/>
        <v>1.0000000000000002</v>
      </c>
    </row>
    <row r="54" spans="4:11" ht="9" customHeight="1" x14ac:dyDescent="0.25">
      <c r="D54" s="10"/>
      <c r="E54" s="51"/>
      <c r="F54" s="51"/>
      <c r="G54" s="51"/>
      <c r="H54" s="51"/>
      <c r="I54" s="51"/>
      <c r="J54" s="63"/>
    </row>
    <row r="55" spans="4:11" x14ac:dyDescent="0.25">
      <c r="J55" s="22"/>
      <c r="K55" s="22" t="s">
        <v>29</v>
      </c>
    </row>
  </sheetData>
  <mergeCells count="3">
    <mergeCell ref="J4:K4"/>
    <mergeCell ref="J29:K29"/>
    <mergeCell ref="J41:K41"/>
  </mergeCells>
  <hyperlinks>
    <hyperlink ref="B2" location="'Suplemento Financiero&gt;&gt;&gt;'!A1" display="ÍNDICE" xr:uid="{35FAA516-D55C-4D8A-9C1D-735EBBACCE9E}"/>
  </hyperlinks>
  <pageMargins left="0.7" right="0.7" top="0.75" bottom="0.75" header="0.3" footer="0.3"/>
  <pageSetup paperSize="9" scale="79" orientation="portrait" r:id="rId1"/>
  <ignoredErrors>
    <ignoredError sqref="I13 E13:H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C2"/>
  <sheetViews>
    <sheetView showGridLines="0" workbookViewId="0">
      <selection activeCell="C2" sqref="C2"/>
    </sheetView>
  </sheetViews>
  <sheetFormatPr baseColWidth="10" defaultRowHeight="15" x14ac:dyDescent="0.25"/>
  <sheetData>
    <row r="2" spans="3:3" x14ac:dyDescent="0.25">
      <c r="C2" s="3" t="s">
        <v>27</v>
      </c>
    </row>
  </sheetData>
  <hyperlinks>
    <hyperlink ref="C2" location="'Suplemento Financiero&gt;&gt;&gt;'!A1" display="ÍNDICE" xr:uid="{BA9F9D9D-F0C0-4DFD-86D9-8AC4FFA59BBA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F41"/>
  <sheetViews>
    <sheetView showGridLines="0" zoomScaleNormal="100" workbookViewId="0">
      <selection activeCell="B2" sqref="B2"/>
    </sheetView>
  </sheetViews>
  <sheetFormatPr baseColWidth="10" defaultColWidth="11.42578125" defaultRowHeight="15" x14ac:dyDescent="0.25"/>
  <cols>
    <col min="1" max="1" width="1.5703125" style="2" customWidth="1"/>
    <col min="2" max="2" width="10.5703125" style="2" customWidth="1"/>
    <col min="3" max="3" width="1.5703125" style="2" customWidth="1"/>
    <col min="4" max="4" width="55.85546875" style="2" customWidth="1"/>
    <col min="5" max="6" width="13.28515625" style="2" customWidth="1"/>
    <col min="7" max="16384" width="11.42578125" style="2"/>
  </cols>
  <sheetData>
    <row r="1" spans="2:6" ht="16.5" customHeight="1" x14ac:dyDescent="0.25">
      <c r="B1" s="112"/>
    </row>
    <row r="2" spans="2:6" ht="18.75" customHeight="1" thickBot="1" x14ac:dyDescent="0.3">
      <c r="B2" s="3" t="s">
        <v>27</v>
      </c>
      <c r="D2" s="4" t="s">
        <v>33</v>
      </c>
      <c r="E2" s="113"/>
      <c r="F2" s="113"/>
    </row>
    <row r="4" spans="2:6" ht="15.75" customHeight="1" thickBot="1" x14ac:dyDescent="0.3">
      <c r="D4" s="134" t="s">
        <v>28</v>
      </c>
      <c r="E4" s="46" t="s">
        <v>16</v>
      </c>
      <c r="F4" s="47" t="s">
        <v>95</v>
      </c>
    </row>
    <row r="5" spans="2:6" ht="15.75" customHeight="1" x14ac:dyDescent="0.25">
      <c r="D5" s="135" t="s">
        <v>150</v>
      </c>
      <c r="E5" s="136">
        <v>51660.847259999995</v>
      </c>
      <c r="F5" s="140">
        <v>41746</v>
      </c>
    </row>
    <row r="6" spans="2:6" ht="15.75" customHeight="1" x14ac:dyDescent="0.25">
      <c r="D6" s="135" t="s">
        <v>151</v>
      </c>
      <c r="E6" s="136">
        <f>E7</f>
        <v>48818.312269999995</v>
      </c>
      <c r="F6" s="140">
        <f>F7</f>
        <v>53998</v>
      </c>
    </row>
    <row r="7" spans="2:6" ht="15.75" customHeight="1" x14ac:dyDescent="0.25">
      <c r="D7" s="137" t="s">
        <v>152</v>
      </c>
      <c r="E7" s="136">
        <v>48818.312269999995</v>
      </c>
      <c r="F7" s="140">
        <v>53998</v>
      </c>
    </row>
    <row r="8" spans="2:6" ht="15.75" customHeight="1" x14ac:dyDescent="0.25">
      <c r="D8" s="135" t="s">
        <v>153</v>
      </c>
      <c r="E8" s="136">
        <f>SUM(E9,E10)</f>
        <v>690845.56091999996</v>
      </c>
      <c r="F8" s="140">
        <f>SUM(F9,F10)</f>
        <v>823345</v>
      </c>
    </row>
    <row r="9" spans="2:6" ht="15.75" customHeight="1" x14ac:dyDescent="0.25">
      <c r="D9" s="137" t="s">
        <v>152</v>
      </c>
      <c r="E9" s="136">
        <v>72067.845589999997</v>
      </c>
      <c r="F9" s="140">
        <v>63524</v>
      </c>
    </row>
    <row r="10" spans="2:6" ht="15.75" customHeight="1" x14ac:dyDescent="0.25">
      <c r="D10" s="137" t="s">
        <v>154</v>
      </c>
      <c r="E10" s="136">
        <v>618777.71532999992</v>
      </c>
      <c r="F10" s="140">
        <v>759821</v>
      </c>
    </row>
    <row r="11" spans="2:6" ht="15.75" customHeight="1" x14ac:dyDescent="0.25">
      <c r="D11" s="135" t="s">
        <v>155</v>
      </c>
      <c r="E11" s="136">
        <v>22372.704980000053</v>
      </c>
      <c r="F11" s="140">
        <v>15456</v>
      </c>
    </row>
    <row r="12" spans="2:6" ht="15.75" customHeight="1" x14ac:dyDescent="0.25">
      <c r="D12" s="135" t="s">
        <v>156</v>
      </c>
      <c r="E12" s="136">
        <v>7807.66039</v>
      </c>
      <c r="F12" s="140">
        <v>5909</v>
      </c>
    </row>
    <row r="13" spans="2:6" ht="15.75" customHeight="1" x14ac:dyDescent="0.25">
      <c r="D13" s="135" t="s">
        <v>157</v>
      </c>
      <c r="E13" s="136">
        <v>21956.755538999998</v>
      </c>
      <c r="F13" s="140">
        <v>31939</v>
      </c>
    </row>
    <row r="14" spans="2:6" ht="15.75" customHeight="1" x14ac:dyDescent="0.25">
      <c r="D14" s="135" t="s">
        <v>158</v>
      </c>
      <c r="E14" s="136">
        <f>SUM(E15,E16)</f>
        <v>110043.72912999999</v>
      </c>
      <c r="F14" s="140">
        <f>SUM(F15,F16)</f>
        <v>101600</v>
      </c>
    </row>
    <row r="15" spans="2:6" ht="15.75" customHeight="1" x14ac:dyDescent="0.25">
      <c r="D15" s="137" t="s">
        <v>159</v>
      </c>
      <c r="E15" s="136">
        <v>45367.72913</v>
      </c>
      <c r="F15" s="140">
        <v>43077</v>
      </c>
    </row>
    <row r="16" spans="2:6" ht="15.75" customHeight="1" x14ac:dyDescent="0.25">
      <c r="D16" s="137" t="s">
        <v>160</v>
      </c>
      <c r="E16" s="136">
        <v>64676</v>
      </c>
      <c r="F16" s="140">
        <v>58523</v>
      </c>
    </row>
    <row r="17" spans="4:6" ht="15.75" customHeight="1" x14ac:dyDescent="0.25">
      <c r="D17" s="135" t="s">
        <v>161</v>
      </c>
      <c r="E17" s="136">
        <v>14482.486570000001</v>
      </c>
      <c r="F17" s="140">
        <v>29188</v>
      </c>
    </row>
    <row r="18" spans="4:6" s="5" customFormat="1" ht="15.75" customHeight="1" thickBot="1" x14ac:dyDescent="0.3">
      <c r="D18" s="138" t="s">
        <v>162</v>
      </c>
      <c r="E18" s="139">
        <v>34438.072599999992</v>
      </c>
      <c r="F18" s="141">
        <v>22141</v>
      </c>
    </row>
    <row r="19" spans="4:6" s="5" customFormat="1" ht="15.75" customHeight="1" thickBot="1" x14ac:dyDescent="0.3">
      <c r="D19" s="144" t="s">
        <v>163</v>
      </c>
      <c r="E19" s="142">
        <f>SUM(E5,E6,E8,E11,E12,E13,E14,E17,E18)</f>
        <v>1002426.1296589999</v>
      </c>
      <c r="F19" s="143">
        <f>SUM(F5,F6,F8,F11,F12,F13,F14,F17,F18)</f>
        <v>1125322</v>
      </c>
    </row>
    <row r="20" spans="4:6" ht="6.75" customHeight="1" x14ac:dyDescent="0.25"/>
    <row r="21" spans="4:6" x14ac:dyDescent="0.25">
      <c r="F21" s="22" t="s">
        <v>29</v>
      </c>
    </row>
    <row r="24" spans="4:6" ht="15.75" customHeight="1" thickBot="1" x14ac:dyDescent="0.3">
      <c r="D24" s="134" t="s">
        <v>42</v>
      </c>
      <c r="E24" s="46" t="s">
        <v>16</v>
      </c>
      <c r="F24" s="47" t="s">
        <v>95</v>
      </c>
    </row>
    <row r="25" spans="4:6" ht="15.75" customHeight="1" x14ac:dyDescent="0.25">
      <c r="D25" s="135" t="s">
        <v>164</v>
      </c>
      <c r="E25" s="136">
        <v>59287.91459</v>
      </c>
      <c r="F25" s="140">
        <v>65313</v>
      </c>
    </row>
    <row r="26" spans="4:6" ht="15.75" customHeight="1" x14ac:dyDescent="0.25">
      <c r="D26" s="135" t="s">
        <v>156</v>
      </c>
      <c r="E26" s="136">
        <v>0</v>
      </c>
      <c r="F26" s="140">
        <v>0</v>
      </c>
    </row>
    <row r="27" spans="4:6" ht="15.75" customHeight="1" x14ac:dyDescent="0.25">
      <c r="D27" s="135" t="s">
        <v>165</v>
      </c>
      <c r="E27" s="136">
        <f>SUM(E28,E29)</f>
        <v>610281.85975907883</v>
      </c>
      <c r="F27" s="140">
        <f>SUM(F28,F29)</f>
        <v>715311</v>
      </c>
    </row>
    <row r="28" spans="4:6" ht="15.75" customHeight="1" x14ac:dyDescent="0.25">
      <c r="D28" s="145" t="s">
        <v>173</v>
      </c>
      <c r="E28" s="136">
        <v>325056.43670907873</v>
      </c>
      <c r="F28" s="140">
        <v>339352</v>
      </c>
    </row>
    <row r="29" spans="4:6" ht="15.75" customHeight="1" x14ac:dyDescent="0.25">
      <c r="D29" s="145" t="s">
        <v>174</v>
      </c>
      <c r="E29" s="136">
        <v>285225.4230500001</v>
      </c>
      <c r="F29" s="140">
        <v>375959</v>
      </c>
    </row>
    <row r="30" spans="4:6" ht="15.75" customHeight="1" x14ac:dyDescent="0.25">
      <c r="D30" s="135" t="s">
        <v>166</v>
      </c>
      <c r="E30" s="136">
        <v>779.70299999999997</v>
      </c>
      <c r="F30" s="140">
        <v>375</v>
      </c>
    </row>
    <row r="31" spans="4:6" ht="15.75" customHeight="1" thickBot="1" x14ac:dyDescent="0.3">
      <c r="D31" s="135" t="s">
        <v>167</v>
      </c>
      <c r="E31" s="136">
        <v>31745.382729980327</v>
      </c>
      <c r="F31" s="140">
        <v>31288</v>
      </c>
    </row>
    <row r="32" spans="4:6" ht="15.75" customHeight="1" thickBot="1" x14ac:dyDescent="0.3">
      <c r="D32" s="146" t="s">
        <v>43</v>
      </c>
      <c r="E32" s="147">
        <f>SUM(E25,E26,E27,E30,E31)</f>
        <v>702094.86007905903</v>
      </c>
      <c r="F32" s="148">
        <f>SUM(F25,F26,F27,F30,F31)</f>
        <v>812287</v>
      </c>
    </row>
    <row r="33" spans="4:6" ht="15.75" customHeight="1" x14ac:dyDescent="0.25">
      <c r="D33" s="135" t="s">
        <v>44</v>
      </c>
      <c r="E33" s="136">
        <v>324243.40613078082</v>
      </c>
      <c r="F33" s="140">
        <v>330087</v>
      </c>
    </row>
    <row r="34" spans="4:6" ht="15.75" customHeight="1" x14ac:dyDescent="0.25">
      <c r="D34" s="135" t="s">
        <v>168</v>
      </c>
      <c r="E34" s="136">
        <f>SUM(E35,E36,E37)</f>
        <v>-23912.403742752562</v>
      </c>
      <c r="F34" s="140">
        <f>SUM(F35,F36,F37)</f>
        <v>-17052</v>
      </c>
    </row>
    <row r="35" spans="4:6" ht="15.75" customHeight="1" x14ac:dyDescent="0.25">
      <c r="D35" s="137" t="s">
        <v>169</v>
      </c>
      <c r="E35" s="136">
        <v>-29855.5924375</v>
      </c>
      <c r="F35" s="140">
        <v>-18226</v>
      </c>
    </row>
    <row r="36" spans="4:6" ht="15.75" customHeight="1" x14ac:dyDescent="0.25">
      <c r="D36" s="137" t="s">
        <v>170</v>
      </c>
      <c r="E36" s="136">
        <v>6240.5337906645764</v>
      </c>
      <c r="F36" s="140">
        <v>1689</v>
      </c>
    </row>
    <row r="37" spans="4:6" ht="15.75" customHeight="1" thickBot="1" x14ac:dyDescent="0.3">
      <c r="D37" s="137" t="s">
        <v>171</v>
      </c>
      <c r="E37" s="136">
        <v>-297.34509591713999</v>
      </c>
      <c r="F37" s="140">
        <v>-515</v>
      </c>
    </row>
    <row r="38" spans="4:6" s="5" customFormat="1" ht="15.75" customHeight="1" thickBot="1" x14ac:dyDescent="0.3">
      <c r="D38" s="146" t="s">
        <v>45</v>
      </c>
      <c r="E38" s="147">
        <f>SUM(E33,E34)</f>
        <v>300331.00238802825</v>
      </c>
      <c r="F38" s="148">
        <f>SUM(F33,F34)</f>
        <v>313035</v>
      </c>
    </row>
    <row r="39" spans="4:6" s="5" customFormat="1" ht="15.75" customHeight="1" thickBot="1" x14ac:dyDescent="0.3">
      <c r="D39" s="146" t="s">
        <v>172</v>
      </c>
      <c r="E39" s="147">
        <f>SUM(E38,E32)</f>
        <v>1002425.8624670873</v>
      </c>
      <c r="F39" s="148">
        <f>SUM(F38,F32)</f>
        <v>1125322</v>
      </c>
    </row>
    <row r="40" spans="4:6" ht="6.75" customHeight="1" x14ac:dyDescent="0.25"/>
    <row r="41" spans="4:6" x14ac:dyDescent="0.25">
      <c r="F41" s="22" t="s">
        <v>29</v>
      </c>
    </row>
  </sheetData>
  <hyperlinks>
    <hyperlink ref="B2" location="'Suplemento Financiero&gt;&gt;&gt;'!A1" display="ÍNDICE" xr:uid="{26DCFF93-53A9-4933-AED0-38638A26CB81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N27"/>
  <sheetViews>
    <sheetView showGridLines="0" zoomScaleNormal="100" workbookViewId="0">
      <selection activeCell="B2" sqref="B2"/>
    </sheetView>
  </sheetViews>
  <sheetFormatPr baseColWidth="10" defaultColWidth="11.42578125" defaultRowHeight="15" outlineLevelCol="1" x14ac:dyDescent="0.25"/>
  <cols>
    <col min="1" max="1" width="1.5703125" style="2" customWidth="1"/>
    <col min="2" max="2" width="10.7109375" style="2" customWidth="1"/>
    <col min="3" max="3" width="1.5703125" style="2" customWidth="1"/>
    <col min="4" max="4" width="82.28515625" style="2" bestFit="1" customWidth="1"/>
    <col min="5" max="5" width="13.28515625" style="2" customWidth="1"/>
    <col min="6" max="8" width="13.28515625" style="2" customWidth="1" outlineLevel="1"/>
    <col min="9" max="9" width="13.28515625" style="2" customWidth="1"/>
    <col min="10" max="10" width="3" style="2" customWidth="1"/>
    <col min="11" max="16384" width="11.42578125" style="2"/>
  </cols>
  <sheetData>
    <row r="1" spans="2:14" ht="16.5" customHeight="1" x14ac:dyDescent="0.25"/>
    <row r="2" spans="2:14" ht="18.75" customHeight="1" thickBot="1" x14ac:dyDescent="0.3">
      <c r="B2" s="3" t="s">
        <v>27</v>
      </c>
      <c r="D2" s="4" t="s">
        <v>107</v>
      </c>
      <c r="E2" s="4"/>
      <c r="F2" s="4"/>
      <c r="G2" s="4"/>
      <c r="H2" s="4"/>
      <c r="I2" s="4"/>
      <c r="K2" s="4" t="s">
        <v>34</v>
      </c>
      <c r="L2" s="4"/>
      <c r="M2" s="4"/>
      <c r="N2" s="4"/>
    </row>
    <row r="3" spans="2:14" x14ac:dyDescent="0.25">
      <c r="B3" s="5"/>
      <c r="D3" s="10"/>
      <c r="E3" s="33"/>
      <c r="F3" s="33"/>
      <c r="G3" s="33"/>
      <c r="H3" s="33"/>
      <c r="I3" s="33"/>
    </row>
    <row r="4" spans="2:14" ht="15.75" thickBot="1" x14ac:dyDescent="0.3">
      <c r="B4" s="5"/>
      <c r="D4" s="6"/>
      <c r="E4" s="34" t="s">
        <v>16</v>
      </c>
      <c r="F4" s="34" t="s">
        <v>17</v>
      </c>
      <c r="G4" s="34" t="s">
        <v>88</v>
      </c>
      <c r="H4" s="34" t="s">
        <v>92</v>
      </c>
      <c r="I4" s="35" t="s">
        <v>95</v>
      </c>
      <c r="K4" s="34" t="s">
        <v>41</v>
      </c>
      <c r="L4" s="34" t="s">
        <v>89</v>
      </c>
      <c r="M4" s="34" t="s">
        <v>93</v>
      </c>
      <c r="N4" s="35" t="s">
        <v>94</v>
      </c>
    </row>
    <row r="5" spans="2:14" x14ac:dyDescent="0.25">
      <c r="B5" s="5"/>
      <c r="D5" s="10" t="s">
        <v>96</v>
      </c>
      <c r="E5" s="36">
        <v>946679</v>
      </c>
      <c r="F5" s="36">
        <v>244209</v>
      </c>
      <c r="G5" s="36">
        <v>491947</v>
      </c>
      <c r="H5" s="36">
        <v>731945.34826999996</v>
      </c>
      <c r="I5" s="37">
        <v>973281</v>
      </c>
      <c r="K5" s="36">
        <f>F5</f>
        <v>244209</v>
      </c>
      <c r="L5" s="36">
        <f t="shared" ref="L5:L19" si="0">G5-F5</f>
        <v>247738</v>
      </c>
      <c r="M5" s="36">
        <f t="shared" ref="M5:M19" si="1">H5-G5</f>
        <v>239998.34826999996</v>
      </c>
      <c r="N5" s="37">
        <f t="shared" ref="N5:N19" si="2">I5-H5</f>
        <v>241335.65173000004</v>
      </c>
    </row>
    <row r="6" spans="2:14" x14ac:dyDescent="0.25">
      <c r="B6" s="5"/>
      <c r="D6" s="10" t="s">
        <v>90</v>
      </c>
      <c r="E6" s="36">
        <v>925444</v>
      </c>
      <c r="F6" s="36">
        <v>234570</v>
      </c>
      <c r="G6" s="36">
        <v>473663</v>
      </c>
      <c r="H6" s="36">
        <v>716226.89895469404</v>
      </c>
      <c r="I6" s="37">
        <v>960266</v>
      </c>
      <c r="K6" s="36">
        <f t="shared" ref="K6" si="3">F6</f>
        <v>234570</v>
      </c>
      <c r="L6" s="36">
        <f t="shared" ref="L6" si="4">G6-F6</f>
        <v>239093</v>
      </c>
      <c r="M6" s="36">
        <f t="shared" ref="M6" si="5">H6-G6</f>
        <v>242563.89895469404</v>
      </c>
      <c r="N6" s="37">
        <f t="shared" ref="N6" si="6">I6-H6</f>
        <v>244039.10104530596</v>
      </c>
    </row>
    <row r="7" spans="2:14" x14ac:dyDescent="0.25">
      <c r="B7" s="5"/>
      <c r="D7" s="10" t="s">
        <v>97</v>
      </c>
      <c r="E7" s="36">
        <v>899579</v>
      </c>
      <c r="F7" s="36">
        <v>228664</v>
      </c>
      <c r="G7" s="36">
        <v>461993</v>
      </c>
      <c r="H7" s="36">
        <v>698654.29066469404</v>
      </c>
      <c r="I7" s="37">
        <v>936777</v>
      </c>
      <c r="K7" s="36">
        <f t="shared" ref="K7:K19" si="7">F7</f>
        <v>228664</v>
      </c>
      <c r="L7" s="36">
        <f t="shared" si="0"/>
        <v>233329</v>
      </c>
      <c r="M7" s="36">
        <f t="shared" si="1"/>
        <v>236661.29066469404</v>
      </c>
      <c r="N7" s="37">
        <f t="shared" si="2"/>
        <v>238122.70933530596</v>
      </c>
    </row>
    <row r="8" spans="2:14" x14ac:dyDescent="0.25">
      <c r="B8" s="5"/>
      <c r="D8" s="38" t="s">
        <v>37</v>
      </c>
      <c r="E8" s="39">
        <v>-653859</v>
      </c>
      <c r="F8" s="39">
        <v>-192634</v>
      </c>
      <c r="G8" s="39">
        <v>-396046</v>
      </c>
      <c r="H8" s="39">
        <v>-584214.57501300389</v>
      </c>
      <c r="I8" s="40">
        <v>-760762</v>
      </c>
      <c r="K8" s="39">
        <f t="shared" si="7"/>
        <v>-192634</v>
      </c>
      <c r="L8" s="39">
        <f t="shared" si="0"/>
        <v>-203412</v>
      </c>
      <c r="M8" s="39">
        <f t="shared" si="1"/>
        <v>-188168.57501300389</v>
      </c>
      <c r="N8" s="40">
        <f t="shared" si="2"/>
        <v>-176547.42498699611</v>
      </c>
    </row>
    <row r="9" spans="2:14" x14ac:dyDescent="0.25">
      <c r="B9" s="5"/>
      <c r="D9" s="38" t="s">
        <v>38</v>
      </c>
      <c r="E9" s="39">
        <v>-208590</v>
      </c>
      <c r="F9" s="39">
        <v>-51657</v>
      </c>
      <c r="G9" s="39">
        <v>-102482</v>
      </c>
      <c r="H9" s="39">
        <v>-156182.54607894082</v>
      </c>
      <c r="I9" s="40">
        <v>-214240</v>
      </c>
      <c r="K9" s="39">
        <f t="shared" si="7"/>
        <v>-51657</v>
      </c>
      <c r="L9" s="39">
        <f t="shared" si="0"/>
        <v>-50825</v>
      </c>
      <c r="M9" s="39">
        <f t="shared" si="1"/>
        <v>-53700.546078940824</v>
      </c>
      <c r="N9" s="40">
        <f t="shared" si="2"/>
        <v>-58057.453921059176</v>
      </c>
    </row>
    <row r="10" spans="2:14" x14ac:dyDescent="0.25">
      <c r="B10" s="5"/>
      <c r="D10" s="10" t="s">
        <v>35</v>
      </c>
      <c r="E10" s="36">
        <f>SUM(E7:E9)</f>
        <v>37130</v>
      </c>
      <c r="F10" s="36">
        <f t="shared" ref="F10:I10" si="8">SUM(F7:F9)</f>
        <v>-15627</v>
      </c>
      <c r="G10" s="36">
        <f t="shared" si="8"/>
        <v>-36535</v>
      </c>
      <c r="H10" s="36">
        <f t="shared" si="8"/>
        <v>-41742.830427250679</v>
      </c>
      <c r="I10" s="37">
        <f t="shared" si="8"/>
        <v>-38225</v>
      </c>
      <c r="K10" s="36">
        <f t="shared" si="7"/>
        <v>-15627</v>
      </c>
      <c r="L10" s="36">
        <f t="shared" si="0"/>
        <v>-20908</v>
      </c>
      <c r="M10" s="36">
        <f t="shared" si="1"/>
        <v>-5207.8304272506793</v>
      </c>
      <c r="N10" s="37">
        <f t="shared" si="2"/>
        <v>3517.8304272506793</v>
      </c>
    </row>
    <row r="11" spans="2:14" x14ac:dyDescent="0.25">
      <c r="B11" s="5"/>
      <c r="D11" s="38" t="s">
        <v>98</v>
      </c>
      <c r="E11" s="39">
        <v>68906</v>
      </c>
      <c r="F11" s="39">
        <v>14031</v>
      </c>
      <c r="G11" s="39">
        <v>23425</v>
      </c>
      <c r="H11" s="39">
        <v>32285.211839999993</v>
      </c>
      <c r="I11" s="40">
        <v>50249</v>
      </c>
      <c r="K11" s="39">
        <f t="shared" si="7"/>
        <v>14031</v>
      </c>
      <c r="L11" s="39">
        <f t="shared" si="0"/>
        <v>9394</v>
      </c>
      <c r="M11" s="39">
        <f t="shared" si="1"/>
        <v>8860.2118399999927</v>
      </c>
      <c r="N11" s="40">
        <f t="shared" si="2"/>
        <v>17963.788160000007</v>
      </c>
    </row>
    <row r="12" spans="2:14" x14ac:dyDescent="0.25">
      <c r="B12" s="5"/>
      <c r="D12" s="38" t="s">
        <v>99</v>
      </c>
      <c r="E12" s="39">
        <v>-27061</v>
      </c>
      <c r="F12" s="39">
        <v>-5645</v>
      </c>
      <c r="G12" s="39">
        <v>-6641</v>
      </c>
      <c r="H12" s="39">
        <v>-6924.8950700000014</v>
      </c>
      <c r="I12" s="40">
        <v>-16257</v>
      </c>
      <c r="K12" s="39">
        <f t="shared" si="7"/>
        <v>-5645</v>
      </c>
      <c r="L12" s="39">
        <f t="shared" si="0"/>
        <v>-996</v>
      </c>
      <c r="M12" s="39">
        <f t="shared" si="1"/>
        <v>-283.8950700000014</v>
      </c>
      <c r="N12" s="40">
        <f t="shared" si="2"/>
        <v>-9332.1049299999977</v>
      </c>
    </row>
    <row r="13" spans="2:14" x14ac:dyDescent="0.25">
      <c r="B13" s="5"/>
      <c r="D13" s="10" t="s">
        <v>91</v>
      </c>
      <c r="E13" s="36">
        <f>SUM(E11:E12)</f>
        <v>41845</v>
      </c>
      <c r="F13" s="36">
        <f t="shared" ref="F13:I13" si="9">SUM(F11:F12)</f>
        <v>8386</v>
      </c>
      <c r="G13" s="36">
        <f t="shared" si="9"/>
        <v>16784</v>
      </c>
      <c r="H13" s="36">
        <f t="shared" si="9"/>
        <v>25360.31676999999</v>
      </c>
      <c r="I13" s="37">
        <f t="shared" si="9"/>
        <v>33992</v>
      </c>
      <c r="K13" s="36">
        <f t="shared" si="7"/>
        <v>8386</v>
      </c>
      <c r="L13" s="36">
        <f t="shared" si="0"/>
        <v>8398</v>
      </c>
      <c r="M13" s="36">
        <f t="shared" si="1"/>
        <v>8576.3167699999904</v>
      </c>
      <c r="N13" s="37">
        <f t="shared" si="2"/>
        <v>8631.6832300000096</v>
      </c>
    </row>
    <row r="14" spans="2:14" x14ac:dyDescent="0.25">
      <c r="B14" s="5"/>
      <c r="D14" s="38" t="s">
        <v>105</v>
      </c>
      <c r="E14" s="39">
        <v>425</v>
      </c>
      <c r="F14" s="39">
        <v>-425</v>
      </c>
      <c r="G14" s="39">
        <v>-1278</v>
      </c>
      <c r="H14" s="39">
        <v>-2734.7526439626963</v>
      </c>
      <c r="I14" s="40">
        <v>-4646</v>
      </c>
      <c r="K14" s="39">
        <f t="shared" si="7"/>
        <v>-425</v>
      </c>
      <c r="L14" s="39">
        <f t="shared" si="0"/>
        <v>-853</v>
      </c>
      <c r="M14" s="39">
        <f t="shared" si="1"/>
        <v>-1456.7526439626963</v>
      </c>
      <c r="N14" s="40">
        <f t="shared" si="2"/>
        <v>-1911.2473560373037</v>
      </c>
    </row>
    <row r="15" spans="2:14" x14ac:dyDescent="0.25">
      <c r="B15" s="5"/>
      <c r="D15" s="38" t="s">
        <v>103</v>
      </c>
      <c r="E15" s="39">
        <f>SUM(E10,E13,E14)</f>
        <v>79400</v>
      </c>
      <c r="F15" s="39">
        <f t="shared" ref="F15:I15" si="10">SUM(F10,F13,F14)</f>
        <v>-7666</v>
      </c>
      <c r="G15" s="39">
        <f t="shared" si="10"/>
        <v>-21029</v>
      </c>
      <c r="H15" s="39">
        <f t="shared" si="10"/>
        <v>-19117.266301213385</v>
      </c>
      <c r="I15" s="40">
        <f t="shared" si="10"/>
        <v>-8879</v>
      </c>
      <c r="K15" s="39">
        <f t="shared" ref="K15" si="11">F15</f>
        <v>-7666</v>
      </c>
      <c r="L15" s="39">
        <f t="shared" si="0"/>
        <v>-13363</v>
      </c>
      <c r="M15" s="39">
        <f t="shared" si="1"/>
        <v>1911.7336987866147</v>
      </c>
      <c r="N15" s="40">
        <f t="shared" si="2"/>
        <v>10238.266301213385</v>
      </c>
    </row>
    <row r="16" spans="2:14" x14ac:dyDescent="0.25">
      <c r="B16" s="5"/>
      <c r="D16" s="38" t="s">
        <v>104</v>
      </c>
      <c r="E16" s="39">
        <v>4160</v>
      </c>
      <c r="F16" s="39">
        <v>608</v>
      </c>
      <c r="G16" s="39">
        <v>1145</v>
      </c>
      <c r="H16" s="39">
        <v>2073.425387863128</v>
      </c>
      <c r="I16" s="40">
        <v>2332</v>
      </c>
      <c r="K16" s="39">
        <f t="shared" si="7"/>
        <v>608</v>
      </c>
      <c r="L16" s="39">
        <f t="shared" si="0"/>
        <v>537</v>
      </c>
      <c r="M16" s="39">
        <f t="shared" si="1"/>
        <v>928.42538786312798</v>
      </c>
      <c r="N16" s="40">
        <f t="shared" si="2"/>
        <v>258.57461213687202</v>
      </c>
    </row>
    <row r="17" spans="2:14" x14ac:dyDescent="0.25">
      <c r="B17" s="5"/>
      <c r="D17" s="10" t="s">
        <v>100</v>
      </c>
      <c r="E17" s="36">
        <f>SUM(E15:E16)</f>
        <v>83560</v>
      </c>
      <c r="F17" s="36">
        <f t="shared" ref="F17:I17" si="12">SUM(F15:F16)</f>
        <v>-7058</v>
      </c>
      <c r="G17" s="36">
        <f t="shared" si="12"/>
        <v>-19884</v>
      </c>
      <c r="H17" s="36">
        <f t="shared" si="12"/>
        <v>-17043.840913350257</v>
      </c>
      <c r="I17" s="37">
        <f t="shared" si="12"/>
        <v>-6547</v>
      </c>
      <c r="K17" s="36">
        <f t="shared" si="7"/>
        <v>-7058</v>
      </c>
      <c r="L17" s="36">
        <f t="shared" si="0"/>
        <v>-12826</v>
      </c>
      <c r="M17" s="36">
        <f t="shared" si="1"/>
        <v>2840.1590866497427</v>
      </c>
      <c r="N17" s="37">
        <f t="shared" si="2"/>
        <v>10496.840913350257</v>
      </c>
    </row>
    <row r="18" spans="2:14" ht="15.75" thickBot="1" x14ac:dyDescent="0.3">
      <c r="B18" s="5"/>
      <c r="D18" s="38" t="s">
        <v>102</v>
      </c>
      <c r="E18" s="39">
        <v>-20436</v>
      </c>
      <c r="F18" s="39">
        <v>1767</v>
      </c>
      <c r="G18" s="39">
        <v>4790</v>
      </c>
      <c r="H18" s="39">
        <v>4554.7116758373968</v>
      </c>
      <c r="I18" s="40">
        <v>2157</v>
      </c>
      <c r="K18" s="39">
        <f t="shared" si="7"/>
        <v>1767</v>
      </c>
      <c r="L18" s="39">
        <f t="shared" si="0"/>
        <v>3023</v>
      </c>
      <c r="M18" s="39">
        <f t="shared" si="1"/>
        <v>-235.2883241626032</v>
      </c>
      <c r="N18" s="40">
        <f t="shared" si="2"/>
        <v>-2397.7116758373968</v>
      </c>
    </row>
    <row r="19" spans="2:14" ht="15.75" thickBot="1" x14ac:dyDescent="0.3">
      <c r="B19" s="5"/>
      <c r="D19" s="15" t="s">
        <v>101</v>
      </c>
      <c r="E19" s="41">
        <f>SUM(E17:E18)</f>
        <v>63124</v>
      </c>
      <c r="F19" s="41">
        <f t="shared" ref="F19:I19" si="13">SUM(F17:F18)</f>
        <v>-5291</v>
      </c>
      <c r="G19" s="41">
        <f t="shared" si="13"/>
        <v>-15094</v>
      </c>
      <c r="H19" s="41">
        <f t="shared" si="13"/>
        <v>-12489.129237512861</v>
      </c>
      <c r="I19" s="42">
        <f t="shared" si="13"/>
        <v>-4390</v>
      </c>
      <c r="K19" s="41">
        <f t="shared" si="7"/>
        <v>-5291</v>
      </c>
      <c r="L19" s="41">
        <f t="shared" si="0"/>
        <v>-9803</v>
      </c>
      <c r="M19" s="41">
        <f t="shared" si="1"/>
        <v>2604.8707624871386</v>
      </c>
      <c r="N19" s="42">
        <f t="shared" si="2"/>
        <v>8099.1292375128614</v>
      </c>
    </row>
    <row r="20" spans="2:14" s="5" customFormat="1" ht="9" customHeight="1" x14ac:dyDescent="0.25"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s="5" customFormat="1" x14ac:dyDescent="0.25">
      <c r="F21" s="22"/>
      <c r="G21" s="22"/>
      <c r="I21" s="22" t="s">
        <v>29</v>
      </c>
      <c r="J21" s="22"/>
      <c r="K21" s="22"/>
      <c r="L21" s="22"/>
      <c r="N21" s="22" t="s">
        <v>29</v>
      </c>
    </row>
    <row r="22" spans="2:14" x14ac:dyDescent="0.25">
      <c r="D22" s="43"/>
    </row>
    <row r="24" spans="2:14" ht="15.75" thickBot="1" x14ac:dyDescent="0.3">
      <c r="D24" s="6"/>
      <c r="E24" s="7" t="s">
        <v>16</v>
      </c>
      <c r="F24" s="7" t="s">
        <v>17</v>
      </c>
      <c r="G24" s="7" t="s">
        <v>88</v>
      </c>
      <c r="H24" s="7" t="s">
        <v>92</v>
      </c>
      <c r="I24" s="8" t="s">
        <v>95</v>
      </c>
      <c r="K24" s="34" t="s">
        <v>41</v>
      </c>
      <c r="L24" s="34" t="s">
        <v>89</v>
      </c>
      <c r="M24" s="34" t="s">
        <v>93</v>
      </c>
      <c r="N24" s="35" t="s">
        <v>94</v>
      </c>
    </row>
    <row r="25" spans="2:14" x14ac:dyDescent="0.25">
      <c r="D25" s="12" t="s">
        <v>39</v>
      </c>
      <c r="E25" s="19">
        <f>-E8/E7</f>
        <v>0.72685000427977975</v>
      </c>
      <c r="F25" s="19">
        <f t="shared" ref="F25:I25" si="14">-F8/F7</f>
        <v>0.84243256481125139</v>
      </c>
      <c r="G25" s="19">
        <f t="shared" si="14"/>
        <v>0.85725541296080243</v>
      </c>
      <c r="H25" s="19">
        <f t="shared" si="14"/>
        <v>0.83619979554864954</v>
      </c>
      <c r="I25" s="24">
        <f t="shared" si="14"/>
        <v>0.81210576263080758</v>
      </c>
      <c r="K25" s="19">
        <f t="shared" ref="K25:N25" si="15">-K8/K7</f>
        <v>0.84243256481125139</v>
      </c>
      <c r="L25" s="19">
        <f t="shared" si="15"/>
        <v>0.87178190452108395</v>
      </c>
      <c r="M25" s="19">
        <f t="shared" si="15"/>
        <v>0.79509654698707999</v>
      </c>
      <c r="N25" s="24">
        <f t="shared" si="15"/>
        <v>0.74141364122644726</v>
      </c>
    </row>
    <row r="26" spans="2:14" ht="15.75" thickBot="1" x14ac:dyDescent="0.3">
      <c r="D26" s="12" t="s">
        <v>40</v>
      </c>
      <c r="E26" s="19">
        <f>-E9/E7</f>
        <v>0.23187513270096344</v>
      </c>
      <c r="F26" s="19">
        <f t="shared" ref="F26:I26" si="16">-F9/F7</f>
        <v>0.2259078823076654</v>
      </c>
      <c r="G26" s="19">
        <f t="shared" si="16"/>
        <v>0.2218258718205687</v>
      </c>
      <c r="H26" s="19">
        <f t="shared" si="16"/>
        <v>0.2235476803990569</v>
      </c>
      <c r="I26" s="24">
        <f t="shared" si="16"/>
        <v>0.22869903936582558</v>
      </c>
      <c r="K26" s="19">
        <f t="shared" ref="K26:N26" si="17">-K9/K7</f>
        <v>0.2259078823076654</v>
      </c>
      <c r="L26" s="19">
        <f t="shared" si="17"/>
        <v>0.21782547390165818</v>
      </c>
      <c r="M26" s="19">
        <f t="shared" si="17"/>
        <v>0.22690887017524433</v>
      </c>
      <c r="N26" s="24">
        <f t="shared" si="17"/>
        <v>0.2438131754972902</v>
      </c>
    </row>
    <row r="27" spans="2:14" ht="15.75" thickBot="1" x14ac:dyDescent="0.3">
      <c r="D27" s="15" t="s">
        <v>36</v>
      </c>
      <c r="E27" s="26">
        <f>-(E8+E9)/E7</f>
        <v>0.95872513698074324</v>
      </c>
      <c r="F27" s="26">
        <f t="shared" ref="F27:I27" si="18">-(F8+F9)/F7</f>
        <v>1.0683404471189168</v>
      </c>
      <c r="G27" s="26">
        <f t="shared" si="18"/>
        <v>1.0790812847813711</v>
      </c>
      <c r="H27" s="26">
        <f t="shared" si="18"/>
        <v>1.0597474759477064</v>
      </c>
      <c r="I27" s="27">
        <f t="shared" si="18"/>
        <v>1.0408048019966332</v>
      </c>
      <c r="K27" s="26">
        <f t="shared" ref="K27:N27" si="19">-(K8+K9)/K7</f>
        <v>1.0683404471189168</v>
      </c>
      <c r="L27" s="26">
        <f t="shared" si="19"/>
        <v>1.0896073784227422</v>
      </c>
      <c r="M27" s="26">
        <f t="shared" si="19"/>
        <v>1.0220054171623243</v>
      </c>
      <c r="N27" s="27">
        <f t="shared" si="19"/>
        <v>0.98522681672373746</v>
      </c>
    </row>
  </sheetData>
  <hyperlinks>
    <hyperlink ref="B2" location="'Suplemento Financiero&gt;&gt;&gt;'!A1" display="ÍNDICE" xr:uid="{4FD03633-2F3C-4042-8B4C-39B45529EDDD}"/>
  </hyperlink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O39"/>
  <sheetViews>
    <sheetView showGridLines="0" zoomScaleNormal="100" workbookViewId="0">
      <selection activeCell="B2" sqref="B2"/>
    </sheetView>
  </sheetViews>
  <sheetFormatPr baseColWidth="10" defaultColWidth="11.42578125" defaultRowHeight="15" outlineLevelCol="1" x14ac:dyDescent="0.25"/>
  <cols>
    <col min="1" max="1" width="1.5703125" style="5" customWidth="1"/>
    <col min="2" max="2" width="10.7109375" style="5" customWidth="1"/>
    <col min="3" max="3" width="1.5703125" style="5" customWidth="1"/>
    <col min="4" max="4" width="14.28515625" style="5" customWidth="1"/>
    <col min="5" max="5" width="11.28515625" style="5" customWidth="1"/>
    <col min="6" max="8" width="11.28515625" style="5" customWidth="1" outlineLevel="1"/>
    <col min="9" max="9" width="11.28515625" style="5" customWidth="1"/>
    <col min="10" max="10" width="11.42578125" style="5"/>
    <col min="11" max="16" width="11.42578125" style="5" customWidth="1"/>
    <col min="17" max="16384" width="11.42578125" style="5"/>
  </cols>
  <sheetData>
    <row r="1" spans="2:15" ht="16.5" customHeight="1" x14ac:dyDescent="0.25"/>
    <row r="2" spans="2:15" ht="18.75" customHeight="1" thickBot="1" x14ac:dyDescent="0.3">
      <c r="B2" s="3" t="s">
        <v>27</v>
      </c>
      <c r="D2" s="4" t="s">
        <v>108</v>
      </c>
      <c r="E2" s="4"/>
      <c r="F2" s="4"/>
      <c r="G2" s="4"/>
      <c r="H2" s="4"/>
      <c r="I2" s="4"/>
      <c r="J2" s="4"/>
    </row>
    <row r="3" spans="2:15" x14ac:dyDescent="0.25">
      <c r="B3" s="44"/>
      <c r="D3" s="20"/>
      <c r="E3" s="20"/>
      <c r="F3" s="20"/>
      <c r="G3" s="20"/>
      <c r="H3" s="20"/>
      <c r="I3" s="20"/>
    </row>
    <row r="4" spans="2:15" x14ac:dyDescent="0.25">
      <c r="B4" s="44"/>
      <c r="D4" s="45"/>
      <c r="E4" s="171" t="s">
        <v>106</v>
      </c>
      <c r="F4" s="171"/>
      <c r="G4" s="171"/>
      <c r="H4" s="171"/>
      <c r="I4" s="171"/>
      <c r="J4" s="171"/>
    </row>
    <row r="5" spans="2:15" ht="15.75" thickBot="1" x14ac:dyDescent="0.3">
      <c r="B5" s="44"/>
      <c r="D5" s="6"/>
      <c r="E5" s="46" t="s">
        <v>16</v>
      </c>
      <c r="F5" s="46" t="s">
        <v>17</v>
      </c>
      <c r="G5" s="46" t="s">
        <v>88</v>
      </c>
      <c r="H5" s="46" t="s">
        <v>92</v>
      </c>
      <c r="I5" s="47" t="s">
        <v>95</v>
      </c>
      <c r="J5" s="48" t="s">
        <v>0</v>
      </c>
    </row>
    <row r="6" spans="2:15" x14ac:dyDescent="0.25">
      <c r="B6" s="44"/>
      <c r="D6" s="12" t="s">
        <v>15</v>
      </c>
      <c r="E6" s="31">
        <v>757858</v>
      </c>
      <c r="F6" s="31">
        <v>191252</v>
      </c>
      <c r="G6" s="31">
        <v>386201</v>
      </c>
      <c r="H6" s="31">
        <v>583893.54322469397</v>
      </c>
      <c r="I6" s="32">
        <v>782686</v>
      </c>
      <c r="J6" s="49">
        <f>+I6/E6-1</f>
        <v>3.276075465324646E-2</v>
      </c>
    </row>
    <row r="7" spans="2:15" x14ac:dyDescent="0.25">
      <c r="B7" s="44"/>
      <c r="D7" s="12" t="s">
        <v>21</v>
      </c>
      <c r="E7" s="31">
        <v>138034</v>
      </c>
      <c r="F7" s="31">
        <v>35735</v>
      </c>
      <c r="G7" s="31">
        <v>72264</v>
      </c>
      <c r="H7" s="31">
        <v>109404.59916000004</v>
      </c>
      <c r="I7" s="32">
        <v>146847</v>
      </c>
      <c r="J7" s="49">
        <f t="shared" ref="J7:J10" si="0">+I7/E7-1</f>
        <v>6.3846588521668579E-2</v>
      </c>
    </row>
    <row r="8" spans="2:15" x14ac:dyDescent="0.25">
      <c r="B8" s="44"/>
      <c r="D8" s="12" t="s">
        <v>22</v>
      </c>
      <c r="E8" s="31">
        <v>28452</v>
      </c>
      <c r="F8" s="31">
        <v>7339</v>
      </c>
      <c r="G8" s="31">
        <v>14775</v>
      </c>
      <c r="H8" s="31">
        <v>22325.482979999975</v>
      </c>
      <c r="I8" s="32">
        <v>29949</v>
      </c>
      <c r="J8" s="49">
        <f t="shared" si="0"/>
        <v>5.2614930409110139E-2</v>
      </c>
    </row>
    <row r="9" spans="2:15" ht="15.75" thickBot="1" x14ac:dyDescent="0.3">
      <c r="B9" s="44"/>
      <c r="D9" s="12" t="s">
        <v>23</v>
      </c>
      <c r="E9" s="31">
        <v>1100</v>
      </c>
      <c r="F9" s="31">
        <v>244</v>
      </c>
      <c r="G9" s="31">
        <v>423</v>
      </c>
      <c r="H9" s="31">
        <v>603.2735899999999</v>
      </c>
      <c r="I9" s="32">
        <v>784</v>
      </c>
      <c r="J9" s="49">
        <f t="shared" si="0"/>
        <v>-0.28727272727272724</v>
      </c>
    </row>
    <row r="10" spans="2:15" ht="15.75" thickBot="1" x14ac:dyDescent="0.3">
      <c r="B10" s="44"/>
      <c r="D10" s="15" t="s">
        <v>1</v>
      </c>
      <c r="E10" s="16">
        <f t="shared" ref="E10:I10" si="1">SUM(E6:E9)</f>
        <v>925444</v>
      </c>
      <c r="F10" s="16">
        <f t="shared" si="1"/>
        <v>234570</v>
      </c>
      <c r="G10" s="16">
        <f t="shared" si="1"/>
        <v>473663</v>
      </c>
      <c r="H10" s="16">
        <f t="shared" si="1"/>
        <v>716226.89895469393</v>
      </c>
      <c r="I10" s="17">
        <f t="shared" si="1"/>
        <v>960266</v>
      </c>
      <c r="J10" s="50">
        <f t="shared" si="0"/>
        <v>3.7627344280150909E-2</v>
      </c>
    </row>
    <row r="11" spans="2:15" x14ac:dyDescent="0.25">
      <c r="B11" s="44"/>
      <c r="D11" s="20"/>
      <c r="E11" s="20"/>
      <c r="F11" s="20"/>
      <c r="G11" s="20"/>
      <c r="H11" s="20"/>
      <c r="I11" s="20"/>
    </row>
    <row r="12" spans="2:15" x14ac:dyDescent="0.25">
      <c r="B12" s="44"/>
      <c r="D12" s="20"/>
      <c r="E12" s="20"/>
      <c r="F12" s="20"/>
      <c r="G12" s="20"/>
      <c r="H12" s="20"/>
      <c r="I12" s="20"/>
    </row>
    <row r="13" spans="2:15" x14ac:dyDescent="0.25">
      <c r="B13" s="44"/>
      <c r="D13" s="45"/>
      <c r="E13" s="171" t="s">
        <v>96</v>
      </c>
      <c r="F13" s="171"/>
      <c r="G13" s="171"/>
      <c r="H13" s="171"/>
      <c r="I13" s="171"/>
      <c r="J13" s="171"/>
    </row>
    <row r="14" spans="2:15" ht="15.75" thickBot="1" x14ac:dyDescent="0.3">
      <c r="B14" s="44"/>
      <c r="D14" s="6"/>
      <c r="E14" s="46" t="s">
        <v>16</v>
      </c>
      <c r="F14" s="46" t="s">
        <v>17</v>
      </c>
      <c r="G14" s="46" t="s">
        <v>88</v>
      </c>
      <c r="H14" s="46" t="s">
        <v>92</v>
      </c>
      <c r="I14" s="47" t="s">
        <v>95</v>
      </c>
      <c r="J14" s="48" t="s">
        <v>0</v>
      </c>
    </row>
    <row r="15" spans="2:15" x14ac:dyDescent="0.25">
      <c r="B15" s="44"/>
      <c r="D15" s="12" t="s">
        <v>15</v>
      </c>
      <c r="E15" s="31">
        <v>772787</v>
      </c>
      <c r="F15" s="31">
        <v>191526</v>
      </c>
      <c r="G15" s="31">
        <v>396107</v>
      </c>
      <c r="H15" s="31">
        <v>595239</v>
      </c>
      <c r="I15" s="32">
        <v>792684</v>
      </c>
      <c r="J15" s="49">
        <f>+I15/E15-1</f>
        <v>2.5747068726570177E-2</v>
      </c>
      <c r="L15" s="60"/>
      <c r="M15" s="60"/>
      <c r="N15" s="60"/>
      <c r="O15" s="60"/>
    </row>
    <row r="16" spans="2:15" x14ac:dyDescent="0.25">
      <c r="B16" s="44"/>
      <c r="D16" s="12" t="s">
        <v>21</v>
      </c>
      <c r="E16" s="31">
        <v>143713</v>
      </c>
      <c r="F16" s="31">
        <v>37607</v>
      </c>
      <c r="G16" s="31">
        <v>75283</v>
      </c>
      <c r="H16" s="31">
        <v>111604</v>
      </c>
      <c r="I16" s="32">
        <v>149430</v>
      </c>
      <c r="J16" s="49">
        <f t="shared" ref="J16:J19" si="2">+I16/E16-1</f>
        <v>3.9780673982172887E-2</v>
      </c>
      <c r="L16" s="60"/>
      <c r="M16" s="60"/>
      <c r="N16" s="60"/>
      <c r="O16" s="60"/>
    </row>
    <row r="17" spans="2:15" x14ac:dyDescent="0.25">
      <c r="B17" s="44"/>
      <c r="D17" s="12" t="s">
        <v>22</v>
      </c>
      <c r="E17" s="31">
        <v>29082</v>
      </c>
      <c r="F17" s="31">
        <v>14335</v>
      </c>
      <c r="G17" s="31">
        <v>19803</v>
      </c>
      <c r="H17" s="31">
        <v>24335</v>
      </c>
      <c r="I17" s="32">
        <v>30384</v>
      </c>
      <c r="J17" s="49">
        <f t="shared" si="2"/>
        <v>4.4769960800495223E-2</v>
      </c>
      <c r="L17" s="60"/>
      <c r="M17" s="60"/>
      <c r="N17" s="60"/>
      <c r="O17" s="60"/>
    </row>
    <row r="18" spans="2:15" ht="15.75" thickBot="1" x14ac:dyDescent="0.3">
      <c r="B18" s="44"/>
      <c r="D18" s="12" t="s">
        <v>23</v>
      </c>
      <c r="E18" s="31">
        <v>1097</v>
      </c>
      <c r="F18" s="31">
        <v>741</v>
      </c>
      <c r="G18" s="31">
        <v>754</v>
      </c>
      <c r="H18" s="31">
        <v>767</v>
      </c>
      <c r="I18" s="32">
        <v>783</v>
      </c>
      <c r="J18" s="49">
        <f t="shared" si="2"/>
        <v>-0.28623518687329075</v>
      </c>
      <c r="L18" s="60"/>
      <c r="M18" s="60"/>
      <c r="N18" s="60"/>
      <c r="O18" s="60"/>
    </row>
    <row r="19" spans="2:15" ht="15.75" thickBot="1" x14ac:dyDescent="0.3">
      <c r="B19" s="44"/>
      <c r="D19" s="15" t="s">
        <v>1</v>
      </c>
      <c r="E19" s="16">
        <f t="shared" ref="E19:I19" si="3">SUM(E15:E18)</f>
        <v>946679</v>
      </c>
      <c r="F19" s="16">
        <f t="shared" si="3"/>
        <v>244209</v>
      </c>
      <c r="G19" s="16">
        <f t="shared" si="3"/>
        <v>491947</v>
      </c>
      <c r="H19" s="16">
        <f t="shared" si="3"/>
        <v>731945</v>
      </c>
      <c r="I19" s="17">
        <f t="shared" si="3"/>
        <v>973281</v>
      </c>
      <c r="J19" s="50">
        <f t="shared" si="2"/>
        <v>2.8100338129397606E-2</v>
      </c>
      <c r="L19" s="60"/>
      <c r="M19" s="60"/>
      <c r="N19" s="60"/>
      <c r="O19" s="60"/>
    </row>
    <row r="20" spans="2:15" x14ac:dyDescent="0.25">
      <c r="B20" s="44"/>
      <c r="D20" s="10"/>
      <c r="E20" s="51"/>
      <c r="F20" s="51"/>
      <c r="G20" s="52"/>
      <c r="H20" s="52"/>
      <c r="I20" s="52"/>
    </row>
    <row r="22" spans="2:15" x14ac:dyDescent="0.25">
      <c r="D22" s="45"/>
      <c r="E22" s="171" t="s">
        <v>35</v>
      </c>
      <c r="F22" s="171"/>
      <c r="G22" s="171"/>
      <c r="H22" s="171"/>
      <c r="I22" s="171"/>
      <c r="J22" s="171"/>
    </row>
    <row r="23" spans="2:15" ht="15.75" thickBot="1" x14ac:dyDescent="0.3">
      <c r="D23" s="6"/>
      <c r="E23" s="46" t="s">
        <v>16</v>
      </c>
      <c r="F23" s="46" t="s">
        <v>17</v>
      </c>
      <c r="G23" s="46" t="s">
        <v>88</v>
      </c>
      <c r="H23" s="46" t="s">
        <v>92</v>
      </c>
      <c r="I23" s="47" t="s">
        <v>95</v>
      </c>
      <c r="J23" s="53" t="s">
        <v>0</v>
      </c>
    </row>
    <row r="24" spans="2:15" x14ac:dyDescent="0.25">
      <c r="D24" s="12" t="s">
        <v>15</v>
      </c>
      <c r="E24" s="31">
        <v>37662</v>
      </c>
      <c r="F24" s="31">
        <v>-13011</v>
      </c>
      <c r="G24" s="31">
        <v>-35222</v>
      </c>
      <c r="H24" s="31">
        <v>-38368.628715366547</v>
      </c>
      <c r="I24" s="32">
        <v>-34907</v>
      </c>
      <c r="J24" s="49">
        <f t="shared" ref="J24:J28" si="4">+I24/E24-1</f>
        <v>-1.9268493441665338</v>
      </c>
    </row>
    <row r="25" spans="2:15" x14ac:dyDescent="0.25">
      <c r="D25" s="12" t="s">
        <v>21</v>
      </c>
      <c r="E25" s="31">
        <v>7574</v>
      </c>
      <c r="F25" s="31">
        <v>-516</v>
      </c>
      <c r="G25" s="31">
        <v>3119</v>
      </c>
      <c r="H25" s="31">
        <v>3395.1474975640717</v>
      </c>
      <c r="I25" s="32">
        <v>6002</v>
      </c>
      <c r="J25" s="49">
        <f t="shared" si="4"/>
        <v>-0.20755215209928701</v>
      </c>
    </row>
    <row r="26" spans="2:15" x14ac:dyDescent="0.25">
      <c r="D26" s="12" t="s">
        <v>22</v>
      </c>
      <c r="E26" s="31">
        <v>-8458</v>
      </c>
      <c r="F26" s="31">
        <v>-2204</v>
      </c>
      <c r="G26" s="31">
        <v>-4607</v>
      </c>
      <c r="H26" s="31">
        <v>-7000.460283032653</v>
      </c>
      <c r="I26" s="32">
        <v>-9558</v>
      </c>
      <c r="J26" s="49">
        <f t="shared" si="4"/>
        <v>0.13005438637975875</v>
      </c>
    </row>
    <row r="27" spans="2:15" ht="15.75" thickBot="1" x14ac:dyDescent="0.3">
      <c r="D27" s="12" t="s">
        <v>23</v>
      </c>
      <c r="E27" s="31">
        <v>352</v>
      </c>
      <c r="F27" s="31">
        <v>104</v>
      </c>
      <c r="G27" s="31">
        <v>175</v>
      </c>
      <c r="H27" s="31">
        <v>231.11107358449979</v>
      </c>
      <c r="I27" s="32">
        <v>238</v>
      </c>
      <c r="J27" s="49">
        <f t="shared" si="4"/>
        <v>-0.32386363636363635</v>
      </c>
    </row>
    <row r="28" spans="2:15" ht="15.75" thickBot="1" x14ac:dyDescent="0.3">
      <c r="D28" s="15" t="s">
        <v>1</v>
      </c>
      <c r="E28" s="16">
        <f t="shared" ref="E28:I28" si="5">SUM(E24:E27)</f>
        <v>37130</v>
      </c>
      <c r="F28" s="16">
        <f t="shared" si="5"/>
        <v>-15627</v>
      </c>
      <c r="G28" s="16">
        <f t="shared" si="5"/>
        <v>-36535</v>
      </c>
      <c r="H28" s="16">
        <f t="shared" si="5"/>
        <v>-41742.830427250628</v>
      </c>
      <c r="I28" s="17">
        <f t="shared" si="5"/>
        <v>-38225</v>
      </c>
      <c r="J28" s="50">
        <f t="shared" si="4"/>
        <v>-2.0294909776461081</v>
      </c>
    </row>
    <row r="31" spans="2:15" x14ac:dyDescent="0.25">
      <c r="D31" s="45"/>
      <c r="E31" s="171" t="s">
        <v>36</v>
      </c>
      <c r="F31" s="171"/>
      <c r="G31" s="171"/>
      <c r="H31" s="171"/>
      <c r="I31" s="171"/>
      <c r="J31" s="171"/>
    </row>
    <row r="32" spans="2:15" ht="15.75" thickBot="1" x14ac:dyDescent="0.3">
      <c r="D32" s="6"/>
      <c r="E32" s="46" t="s">
        <v>16</v>
      </c>
      <c r="F32" s="46" t="s">
        <v>17</v>
      </c>
      <c r="G32" s="46" t="s">
        <v>88</v>
      </c>
      <c r="H32" s="46" t="s">
        <v>92</v>
      </c>
      <c r="I32" s="47" t="s">
        <v>95</v>
      </c>
      <c r="J32" s="54" t="s">
        <v>13</v>
      </c>
    </row>
    <row r="33" spans="4:10" x14ac:dyDescent="0.25">
      <c r="D33" s="12" t="s">
        <v>15</v>
      </c>
      <c r="E33" s="55">
        <v>0.94999156833038334</v>
      </c>
      <c r="F33" s="55">
        <v>1.0684821912616913</v>
      </c>
      <c r="G33" s="55">
        <v>1.0918018943165291</v>
      </c>
      <c r="H33" s="55">
        <v>1.0661412499744833</v>
      </c>
      <c r="I33" s="56">
        <v>1.0448886688484957</v>
      </c>
      <c r="J33" s="25">
        <f>(I33-E33)*100</f>
        <v>9.4897100518112403</v>
      </c>
    </row>
    <row r="34" spans="4:10" x14ac:dyDescent="0.25">
      <c r="D34" s="12" t="s">
        <v>21</v>
      </c>
      <c r="E34" s="55">
        <v>0.94164869029275811</v>
      </c>
      <c r="F34" s="55">
        <v>1.0149851890573269</v>
      </c>
      <c r="G34" s="55">
        <v>0.95534205778757775</v>
      </c>
      <c r="H34" s="55">
        <v>0.96789648189137911</v>
      </c>
      <c r="I34" s="56">
        <v>0.95771929330215</v>
      </c>
      <c r="J34" s="25">
        <f t="shared" ref="J34:J37" si="6">(I34-E34)*100</f>
        <v>1.6070603009391893</v>
      </c>
    </row>
    <row r="35" spans="4:10" x14ac:dyDescent="0.25">
      <c r="D35" s="12" t="s">
        <v>22</v>
      </c>
      <c r="E35" s="55">
        <v>1.5421447343119032</v>
      </c>
      <c r="F35" s="55">
        <v>1.5504495504495504</v>
      </c>
      <c r="G35" s="55">
        <v>1.5713045634920635</v>
      </c>
      <c r="H35" s="55">
        <v>1.5736429350533556</v>
      </c>
      <c r="I35" s="56">
        <v>1.5823432644854689</v>
      </c>
      <c r="J35" s="25">
        <f t="shared" si="6"/>
        <v>4.0198530173565672</v>
      </c>
    </row>
    <row r="36" spans="4:10" ht="15.75" thickBot="1" x14ac:dyDescent="0.3">
      <c r="D36" s="12" t="s">
        <v>23</v>
      </c>
      <c r="E36" s="55">
        <v>0.66948356807511744</v>
      </c>
      <c r="F36" s="55">
        <v>0.55744680851063833</v>
      </c>
      <c r="G36" s="55">
        <v>0.57627118644067798</v>
      </c>
      <c r="H36" s="55">
        <v>0.61038403473012948</v>
      </c>
      <c r="I36" s="56">
        <v>0.69210866752910738</v>
      </c>
      <c r="J36" s="25">
        <f t="shared" si="6"/>
        <v>2.2625099453989939</v>
      </c>
    </row>
    <row r="37" spans="4:10" ht="15.75" thickBot="1" x14ac:dyDescent="0.3">
      <c r="D37" s="15" t="s">
        <v>1</v>
      </c>
      <c r="E37" s="57">
        <v>0.95872513698074324</v>
      </c>
      <c r="F37" s="57">
        <v>1.0683404471189168</v>
      </c>
      <c r="G37" s="57">
        <v>1.0790812847813711</v>
      </c>
      <c r="H37" s="57">
        <v>1.0597474759477064</v>
      </c>
      <c r="I37" s="58">
        <v>1.0408048019966332</v>
      </c>
      <c r="J37" s="59">
        <f t="shared" si="6"/>
        <v>8.2079665015889915</v>
      </c>
    </row>
    <row r="38" spans="4:10" x14ac:dyDescent="0.25">
      <c r="E38" s="51"/>
      <c r="F38" s="51"/>
      <c r="G38" s="52"/>
      <c r="H38" s="52"/>
      <c r="I38" s="52"/>
    </row>
    <row r="39" spans="4:10" x14ac:dyDescent="0.25">
      <c r="E39" s="20"/>
      <c r="F39" s="20"/>
      <c r="G39" s="22"/>
      <c r="H39" s="22"/>
      <c r="I39" s="22"/>
      <c r="J39" s="22" t="s">
        <v>30</v>
      </c>
    </row>
  </sheetData>
  <mergeCells count="4">
    <mergeCell ref="E13:J13"/>
    <mergeCell ref="E22:J22"/>
    <mergeCell ref="E31:J31"/>
    <mergeCell ref="E4:J4"/>
  </mergeCells>
  <hyperlinks>
    <hyperlink ref="B2" location="'Suplemento Financiero&gt;&gt;&gt;'!A1" display="ÍNDICE" xr:uid="{435668EF-9ABF-4726-AE27-762BCE76C738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O17"/>
  <sheetViews>
    <sheetView showGridLines="0" zoomScaleNormal="100" workbookViewId="0">
      <selection activeCell="B2" sqref="B2"/>
    </sheetView>
  </sheetViews>
  <sheetFormatPr baseColWidth="10" defaultColWidth="10.8554687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82.28515625" style="1" bestFit="1" customWidth="1"/>
    <col min="5" max="5" width="11" style="1" customWidth="1"/>
    <col min="6" max="8" width="11" style="1" customWidth="1" outlineLevel="1"/>
    <col min="9" max="10" width="11" style="1" customWidth="1"/>
    <col min="11" max="11" width="3" style="2" customWidth="1"/>
    <col min="12" max="16384" width="10.85546875" style="1"/>
  </cols>
  <sheetData>
    <row r="1" spans="2:15" ht="16.5" customHeight="1" x14ac:dyDescent="0.25"/>
    <row r="2" spans="2:15" ht="18.75" customHeight="1" thickBot="1" x14ac:dyDescent="0.3">
      <c r="B2" s="3" t="s">
        <v>27</v>
      </c>
      <c r="D2" s="4" t="s">
        <v>109</v>
      </c>
      <c r="E2" s="4"/>
      <c r="F2" s="4"/>
      <c r="G2" s="4"/>
      <c r="H2" s="4"/>
      <c r="I2" s="4"/>
      <c r="J2" s="4"/>
      <c r="L2" s="4" t="s">
        <v>34</v>
      </c>
      <c r="M2" s="4"/>
      <c r="N2" s="4"/>
      <c r="O2" s="4"/>
    </row>
    <row r="4" spans="2:15" s="5" customFormat="1" ht="15.75" thickBot="1" x14ac:dyDescent="0.3">
      <c r="D4" s="6"/>
      <c r="E4" s="7" t="s">
        <v>16</v>
      </c>
      <c r="F4" s="7" t="s">
        <v>17</v>
      </c>
      <c r="G4" s="7" t="s">
        <v>88</v>
      </c>
      <c r="H4" s="7" t="s">
        <v>92</v>
      </c>
      <c r="I4" s="8" t="s">
        <v>95</v>
      </c>
      <c r="J4" s="9" t="s">
        <v>0</v>
      </c>
      <c r="K4" s="2"/>
      <c r="L4" s="7" t="s">
        <v>41</v>
      </c>
      <c r="M4" s="7" t="s">
        <v>89</v>
      </c>
      <c r="N4" s="7" t="s">
        <v>93</v>
      </c>
      <c r="O4" s="8" t="s">
        <v>94</v>
      </c>
    </row>
    <row r="5" spans="2:15" s="5" customFormat="1" x14ac:dyDescent="0.25">
      <c r="D5" s="10" t="s">
        <v>96</v>
      </c>
      <c r="E5" s="29">
        <v>772787</v>
      </c>
      <c r="F5" s="29">
        <v>191526</v>
      </c>
      <c r="G5" s="29">
        <v>396107</v>
      </c>
      <c r="H5" s="29">
        <v>595238.64305000007</v>
      </c>
      <c r="I5" s="30">
        <v>792684</v>
      </c>
      <c r="J5" s="11">
        <f>+I5/E5-1</f>
        <v>2.5747068726570177E-2</v>
      </c>
      <c r="K5" s="2"/>
      <c r="L5" s="29">
        <f>F5</f>
        <v>191526</v>
      </c>
      <c r="M5" s="29">
        <f>G5-F5</f>
        <v>204581</v>
      </c>
      <c r="N5" s="29">
        <f>H5-G5</f>
        <v>199131.64305000007</v>
      </c>
      <c r="O5" s="30">
        <f>I5-H5</f>
        <v>197445.35694999993</v>
      </c>
    </row>
    <row r="6" spans="2:15" s="5" customFormat="1" x14ac:dyDescent="0.25">
      <c r="D6" s="10" t="s">
        <v>97</v>
      </c>
      <c r="E6" s="29">
        <v>753113</v>
      </c>
      <c r="F6" s="29">
        <v>189991</v>
      </c>
      <c r="G6" s="29">
        <v>383674</v>
      </c>
      <c r="H6" s="29">
        <v>580101.35475469392</v>
      </c>
      <c r="I6" s="30">
        <v>777635</v>
      </c>
      <c r="J6" s="11">
        <f t="shared" ref="J6:J9" si="0">+I6/E6-1</f>
        <v>3.2560850762103355E-2</v>
      </c>
      <c r="K6" s="2"/>
      <c r="L6" s="29">
        <f t="shared" ref="L6:L8" si="1">F6</f>
        <v>189991</v>
      </c>
      <c r="M6" s="29">
        <f t="shared" ref="M6:M8" si="2">G6-F6</f>
        <v>193683</v>
      </c>
      <c r="N6" s="29">
        <f t="shared" ref="N6:O8" si="3">H6-G6</f>
        <v>196427.35475469392</v>
      </c>
      <c r="O6" s="30">
        <f t="shared" si="3"/>
        <v>197533.64524530608</v>
      </c>
    </row>
    <row r="7" spans="2:15" s="150" customFormat="1" x14ac:dyDescent="0.25">
      <c r="D7" s="149" t="s">
        <v>37</v>
      </c>
      <c r="E7" s="31">
        <v>-558716</v>
      </c>
      <c r="F7" s="31">
        <v>-163096</v>
      </c>
      <c r="G7" s="31">
        <v>-342468</v>
      </c>
      <c r="H7" s="31">
        <v>-502170.8616834979</v>
      </c>
      <c r="I7" s="32">
        <v>-652866</v>
      </c>
      <c r="J7" s="14">
        <f t="shared" si="0"/>
        <v>0.16851137250409876</v>
      </c>
      <c r="L7" s="31">
        <f t="shared" si="1"/>
        <v>-163096</v>
      </c>
      <c r="M7" s="31">
        <f t="shared" si="2"/>
        <v>-179372</v>
      </c>
      <c r="N7" s="31">
        <f t="shared" si="3"/>
        <v>-159702.8616834979</v>
      </c>
      <c r="O7" s="32">
        <f t="shared" si="3"/>
        <v>-150695.1383165021</v>
      </c>
    </row>
    <row r="8" spans="2:15" s="5" customFormat="1" ht="15.75" thickBot="1" x14ac:dyDescent="0.3">
      <c r="D8" s="115" t="s">
        <v>38</v>
      </c>
      <c r="E8" s="116">
        <v>-156735</v>
      </c>
      <c r="F8" s="116">
        <v>-39906</v>
      </c>
      <c r="G8" s="116">
        <v>-76428</v>
      </c>
      <c r="H8" s="116">
        <v>-116299.12178656261</v>
      </c>
      <c r="I8" s="117">
        <v>-159676</v>
      </c>
      <c r="J8" s="118">
        <f t="shared" si="0"/>
        <v>1.8764156059591031E-2</v>
      </c>
      <c r="K8" s="2"/>
      <c r="L8" s="116">
        <f t="shared" si="1"/>
        <v>-39906</v>
      </c>
      <c r="M8" s="116">
        <f t="shared" si="2"/>
        <v>-36522</v>
      </c>
      <c r="N8" s="116">
        <f t="shared" si="3"/>
        <v>-39871.121786562609</v>
      </c>
      <c r="O8" s="117">
        <f t="shared" si="3"/>
        <v>-43376.878213437391</v>
      </c>
    </row>
    <row r="9" spans="2:15" s="5" customFormat="1" ht="15.75" thickBot="1" x14ac:dyDescent="0.3">
      <c r="D9" s="15" t="s">
        <v>35</v>
      </c>
      <c r="E9" s="16">
        <f>SUM(E6,E7,E8)</f>
        <v>37662</v>
      </c>
      <c r="F9" s="16">
        <f>SUM(F6,F7,F8)</f>
        <v>-13011</v>
      </c>
      <c r="G9" s="16">
        <f>SUM(G6,G7,G8)</f>
        <v>-35222</v>
      </c>
      <c r="H9" s="16">
        <f>SUM(H6,H7,H8)</f>
        <v>-38368.628715366591</v>
      </c>
      <c r="I9" s="17">
        <f>SUM(I6,I7,I8)</f>
        <v>-34907</v>
      </c>
      <c r="J9" s="18">
        <f t="shared" si="0"/>
        <v>-1.9268493441665338</v>
      </c>
      <c r="K9" s="2"/>
      <c r="L9" s="16">
        <f>SUM(L6,L7,L8)</f>
        <v>-13011</v>
      </c>
      <c r="M9" s="16">
        <f>SUM(M6,M7,M8)</f>
        <v>-22211</v>
      </c>
      <c r="N9" s="16">
        <f>SUM(N6,N7,N8)</f>
        <v>-3146.6287153665908</v>
      </c>
      <c r="O9" s="17">
        <f>SUM(O6,O7,O8)</f>
        <v>3461.6287153665908</v>
      </c>
    </row>
    <row r="10" spans="2:15" s="5" customFormat="1" ht="9" customHeight="1" x14ac:dyDescent="0.25">
      <c r="D10" s="10"/>
      <c r="E10" s="13"/>
      <c r="F10" s="13"/>
      <c r="G10" s="13"/>
      <c r="H10" s="13"/>
      <c r="I10" s="19"/>
      <c r="J10" s="19"/>
      <c r="K10" s="2"/>
    </row>
    <row r="11" spans="2:15" s="5" customFormat="1" x14ac:dyDescent="0.25">
      <c r="D11" s="20"/>
      <c r="E11" s="21"/>
      <c r="F11" s="21"/>
      <c r="G11" s="21"/>
      <c r="H11" s="21"/>
      <c r="I11" s="22"/>
      <c r="J11" s="22" t="s">
        <v>29</v>
      </c>
      <c r="K11" s="2"/>
      <c r="O11" s="22" t="s">
        <v>29</v>
      </c>
    </row>
    <row r="12" spans="2:15" s="5" customFormat="1" x14ac:dyDescent="0.25">
      <c r="D12" s="20"/>
      <c r="E12" s="21"/>
      <c r="F12" s="21"/>
      <c r="G12" s="21"/>
      <c r="H12" s="21"/>
      <c r="I12" s="21"/>
      <c r="J12" s="21"/>
      <c r="K12" s="2"/>
    </row>
    <row r="13" spans="2:15" s="5" customFormat="1" x14ac:dyDescent="0.25">
      <c r="D13" s="10"/>
      <c r="E13" s="13"/>
      <c r="F13" s="13"/>
      <c r="G13" s="13"/>
      <c r="H13" s="13"/>
      <c r="I13" s="19"/>
      <c r="J13" s="19"/>
      <c r="K13" s="2"/>
    </row>
    <row r="14" spans="2:15" s="5" customFormat="1" ht="15.75" thickBot="1" x14ac:dyDescent="0.3">
      <c r="D14" s="6"/>
      <c r="E14" s="7" t="s">
        <v>16</v>
      </c>
      <c r="F14" s="7" t="s">
        <v>17</v>
      </c>
      <c r="G14" s="7" t="s">
        <v>88</v>
      </c>
      <c r="H14" s="7" t="s">
        <v>92</v>
      </c>
      <c r="I14" s="8" t="s">
        <v>95</v>
      </c>
      <c r="J14" s="23" t="s">
        <v>2</v>
      </c>
      <c r="K14" s="2"/>
      <c r="L14" s="7" t="s">
        <v>41</v>
      </c>
      <c r="M14" s="7" t="s">
        <v>89</v>
      </c>
      <c r="N14" s="7" t="s">
        <v>93</v>
      </c>
      <c r="O14" s="8" t="s">
        <v>94</v>
      </c>
    </row>
    <row r="15" spans="2:15" s="5" customFormat="1" x14ac:dyDescent="0.25">
      <c r="D15" s="12" t="s">
        <v>39</v>
      </c>
      <c r="E15" s="19">
        <f>-E7/E6</f>
        <v>0.74187538921781992</v>
      </c>
      <c r="F15" s="19">
        <f>-F7/F6</f>
        <v>0.85844066297877264</v>
      </c>
      <c r="G15" s="19">
        <f>-G7/G6</f>
        <v>0.89260153150852029</v>
      </c>
      <c r="H15" s="19">
        <f>-H7/H6</f>
        <v>0.86566055667263475</v>
      </c>
      <c r="I15" s="24">
        <f>-I7/I6</f>
        <v>0.8395532608485986</v>
      </c>
      <c r="J15" s="25">
        <f t="shared" ref="J15:J17" si="4">(I15-E15)*100</f>
        <v>9.7677871630778679</v>
      </c>
      <c r="K15" s="2"/>
      <c r="L15" s="19">
        <f>-L7/L6</f>
        <v>0.85844066297877264</v>
      </c>
      <c r="M15" s="19">
        <f>-M7/M6</f>
        <v>0.92611122297775228</v>
      </c>
      <c r="N15" s="19">
        <f>-N7/N6</f>
        <v>0.81303778632533652</v>
      </c>
      <c r="O15" s="24">
        <f>-O7/O6</f>
        <v>0.76288339705047292</v>
      </c>
    </row>
    <row r="16" spans="2:15" s="5" customFormat="1" ht="15.75" thickBot="1" x14ac:dyDescent="0.3">
      <c r="D16" s="12" t="s">
        <v>40</v>
      </c>
      <c r="E16" s="19">
        <f>-E8/E6</f>
        <v>0.20811617911256344</v>
      </c>
      <c r="F16" s="19">
        <f>-F8/F6</f>
        <v>0.21004152828291867</v>
      </c>
      <c r="G16" s="19">
        <f>-G8/G6</f>
        <v>0.19920036280800887</v>
      </c>
      <c r="H16" s="19">
        <f>-H8/H6</f>
        <v>0.20048069330184851</v>
      </c>
      <c r="I16" s="24">
        <f>-I8/I6</f>
        <v>0.20533540799989713</v>
      </c>
      <c r="J16" s="25">
        <f t="shared" si="4"/>
        <v>-0.27807711126663082</v>
      </c>
      <c r="K16" s="2"/>
      <c r="L16" s="19">
        <f>-L8/L6</f>
        <v>0.21004152828291867</v>
      </c>
      <c r="M16" s="19">
        <f>-M8/M6</f>
        <v>0.18856585244962129</v>
      </c>
      <c r="N16" s="19">
        <f>-N8/N6</f>
        <v>0.20298151363060002</v>
      </c>
      <c r="O16" s="24">
        <f>-O8/O6</f>
        <v>0.21959235430283308</v>
      </c>
    </row>
    <row r="17" spans="4:15" s="5" customFormat="1" ht="15.75" thickBot="1" x14ac:dyDescent="0.3">
      <c r="D17" s="15" t="s">
        <v>36</v>
      </c>
      <c r="E17" s="26">
        <f>-(E7+E8)/E6</f>
        <v>0.94999156833038334</v>
      </c>
      <c r="F17" s="26">
        <f>-(F7+F8)/F6</f>
        <v>1.0684821912616913</v>
      </c>
      <c r="G17" s="26">
        <f>-(G7+G8)/G6</f>
        <v>1.0918018943165291</v>
      </c>
      <c r="H17" s="26">
        <f>-(H7+H8)/H6</f>
        <v>1.0661412499744833</v>
      </c>
      <c r="I17" s="27">
        <f>-(I7+I8)/I6</f>
        <v>1.0448886688484957</v>
      </c>
      <c r="J17" s="28">
        <f t="shared" si="4"/>
        <v>9.4897100518112403</v>
      </c>
      <c r="K17" s="2"/>
      <c r="L17" s="26">
        <f>-(L7+L8)/L6</f>
        <v>1.0684821912616913</v>
      </c>
      <c r="M17" s="26">
        <f>-(M7+M8)/M6</f>
        <v>1.1146770754273736</v>
      </c>
      <c r="N17" s="26">
        <f>-(N7+N8)/N6</f>
        <v>1.0160192999559365</v>
      </c>
      <c r="O17" s="27">
        <f>-(O7+O8)/O6</f>
        <v>0.982475751353306</v>
      </c>
    </row>
  </sheetData>
  <hyperlinks>
    <hyperlink ref="B2" location="'Suplemento Financiero&gt;&gt;&gt;'!A1" display="ÍNDICE" xr:uid="{70DCC0BC-B217-4860-83C8-5F868EB7AA2D}"/>
  </hyperlink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O17"/>
  <sheetViews>
    <sheetView showGridLines="0" zoomScaleNormal="100" workbookViewId="0">
      <selection activeCell="B2" sqref="B2"/>
    </sheetView>
  </sheetViews>
  <sheetFormatPr baseColWidth="10" defaultColWidth="10.8554687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82.28515625" style="1" bestFit="1" customWidth="1"/>
    <col min="5" max="5" width="11" style="1" customWidth="1"/>
    <col min="6" max="8" width="11" style="1" customWidth="1" outlineLevel="1"/>
    <col min="9" max="10" width="11" style="1" customWidth="1"/>
    <col min="11" max="11" width="3" style="2" customWidth="1"/>
    <col min="12" max="16384" width="10.85546875" style="1"/>
  </cols>
  <sheetData>
    <row r="1" spans="2:15" ht="16.5" customHeight="1" x14ac:dyDescent="0.25"/>
    <row r="2" spans="2:15" ht="18.75" customHeight="1" thickBot="1" x14ac:dyDescent="0.3">
      <c r="B2" s="3" t="s">
        <v>27</v>
      </c>
      <c r="D2" s="4" t="s">
        <v>110</v>
      </c>
      <c r="E2" s="4"/>
      <c r="F2" s="4"/>
      <c r="G2" s="4"/>
      <c r="H2" s="4"/>
      <c r="I2" s="4"/>
      <c r="J2" s="4"/>
      <c r="L2" s="4" t="s">
        <v>34</v>
      </c>
      <c r="M2" s="4"/>
      <c r="N2" s="4"/>
      <c r="O2" s="4"/>
    </row>
    <row r="4" spans="2:15" s="5" customFormat="1" ht="15.75" thickBot="1" x14ac:dyDescent="0.3">
      <c r="D4" s="6"/>
      <c r="E4" s="7" t="s">
        <v>16</v>
      </c>
      <c r="F4" s="7" t="s">
        <v>17</v>
      </c>
      <c r="G4" s="7" t="s">
        <v>88</v>
      </c>
      <c r="H4" s="7" t="s">
        <v>92</v>
      </c>
      <c r="I4" s="8" t="s">
        <v>95</v>
      </c>
      <c r="J4" s="9" t="s">
        <v>0</v>
      </c>
      <c r="K4" s="2"/>
      <c r="L4" s="7" t="s">
        <v>41</v>
      </c>
      <c r="M4" s="7" t="s">
        <v>89</v>
      </c>
      <c r="N4" s="7" t="s">
        <v>93</v>
      </c>
      <c r="O4" s="8" t="s">
        <v>94</v>
      </c>
    </row>
    <row r="5" spans="2:15" s="5" customFormat="1" x14ac:dyDescent="0.25">
      <c r="D5" s="10" t="s">
        <v>96</v>
      </c>
      <c r="E5" s="29">
        <v>143713</v>
      </c>
      <c r="F5" s="29">
        <v>37607</v>
      </c>
      <c r="G5" s="29">
        <v>75283</v>
      </c>
      <c r="H5" s="29">
        <v>111603.77460999999</v>
      </c>
      <c r="I5" s="30">
        <v>149430</v>
      </c>
      <c r="J5" s="11">
        <f>+I5/E5-1</f>
        <v>3.9780673982172887E-2</v>
      </c>
      <c r="K5" s="2"/>
      <c r="L5" s="29">
        <f>F5</f>
        <v>37607</v>
      </c>
      <c r="M5" s="29">
        <f>G5-F5</f>
        <v>37676</v>
      </c>
      <c r="N5" s="29">
        <f>H5-G5</f>
        <v>36320.774609999993</v>
      </c>
      <c r="O5" s="30">
        <f>I5-H5</f>
        <v>37826.225390000007</v>
      </c>
    </row>
    <row r="6" spans="2:15" s="5" customFormat="1" x14ac:dyDescent="0.25">
      <c r="D6" s="10" t="s">
        <v>97</v>
      </c>
      <c r="E6" s="29">
        <v>129800</v>
      </c>
      <c r="F6" s="29">
        <v>34434</v>
      </c>
      <c r="G6" s="29">
        <v>69842</v>
      </c>
      <c r="H6" s="29">
        <v>105756.24410000004</v>
      </c>
      <c r="I6" s="30">
        <v>141956</v>
      </c>
      <c r="J6" s="11">
        <f t="shared" ref="J6:J9" si="0">+I6/E6-1</f>
        <v>9.3651771956856811E-2</v>
      </c>
      <c r="K6" s="2"/>
      <c r="L6" s="29">
        <f t="shared" ref="L6:L8" si="1">F6</f>
        <v>34434</v>
      </c>
      <c r="M6" s="29">
        <f t="shared" ref="M6:O8" si="2">G6-F6</f>
        <v>35408</v>
      </c>
      <c r="N6" s="29">
        <f t="shared" si="2"/>
        <v>35914.24410000004</v>
      </c>
      <c r="O6" s="30">
        <f t="shared" si="2"/>
        <v>36199.75589999996</v>
      </c>
    </row>
    <row r="7" spans="2:15" s="150" customFormat="1" x14ac:dyDescent="0.25">
      <c r="D7" s="149" t="s">
        <v>37</v>
      </c>
      <c r="E7" s="31">
        <v>-80002</v>
      </c>
      <c r="F7" s="31">
        <v>-25797</v>
      </c>
      <c r="G7" s="31">
        <v>-45860</v>
      </c>
      <c r="H7" s="31">
        <v>-71056.216270299061</v>
      </c>
      <c r="I7" s="32">
        <v>-94121</v>
      </c>
      <c r="J7" s="14">
        <f t="shared" si="0"/>
        <v>0.17648308792280187</v>
      </c>
      <c r="L7" s="31">
        <f t="shared" si="1"/>
        <v>-25797</v>
      </c>
      <c r="M7" s="31">
        <f t="shared" si="2"/>
        <v>-20063</v>
      </c>
      <c r="N7" s="31">
        <f t="shared" si="2"/>
        <v>-25196.216270299061</v>
      </c>
      <c r="O7" s="32">
        <f t="shared" si="2"/>
        <v>-23064.783729700939</v>
      </c>
    </row>
    <row r="8" spans="2:15" s="150" customFormat="1" ht="15.75" thickBot="1" x14ac:dyDescent="0.3">
      <c r="D8" s="149" t="s">
        <v>38</v>
      </c>
      <c r="E8" s="116">
        <v>-42224</v>
      </c>
      <c r="F8" s="116">
        <v>-9153</v>
      </c>
      <c r="G8" s="116">
        <v>-20863</v>
      </c>
      <c r="H8" s="116">
        <v>-31304.880332136901</v>
      </c>
      <c r="I8" s="117">
        <v>-41833</v>
      </c>
      <c r="J8" s="14">
        <f t="shared" si="0"/>
        <v>-9.2601364153088728E-3</v>
      </c>
      <c r="L8" s="31">
        <f t="shared" si="1"/>
        <v>-9153</v>
      </c>
      <c r="M8" s="31">
        <f t="shared" si="2"/>
        <v>-11710</v>
      </c>
      <c r="N8" s="31">
        <f t="shared" si="2"/>
        <v>-10441.880332136901</v>
      </c>
      <c r="O8" s="32">
        <f t="shared" si="2"/>
        <v>-10528.119667863099</v>
      </c>
    </row>
    <row r="9" spans="2:15" s="5" customFormat="1" ht="15.75" thickBot="1" x14ac:dyDescent="0.3">
      <c r="D9" s="15" t="s">
        <v>35</v>
      </c>
      <c r="E9" s="16">
        <f>SUM(E6,E7,E8)</f>
        <v>7574</v>
      </c>
      <c r="F9" s="16">
        <f>SUM(F6,F7,F8)</f>
        <v>-516</v>
      </c>
      <c r="G9" s="16">
        <f>SUM(G6,G7,G8)</f>
        <v>3119</v>
      </c>
      <c r="H9" s="16">
        <f>SUM(H6,H7,H8)</f>
        <v>3395.1474975640776</v>
      </c>
      <c r="I9" s="17">
        <f>SUM(I6,I7,I8)</f>
        <v>6002</v>
      </c>
      <c r="J9" s="18">
        <f t="shared" si="0"/>
        <v>-0.20755215209928701</v>
      </c>
      <c r="K9" s="2"/>
      <c r="L9" s="16">
        <f>SUM(L6,L7,L8)</f>
        <v>-516</v>
      </c>
      <c r="M9" s="16">
        <f>SUM(M6,M7,M8)</f>
        <v>3635</v>
      </c>
      <c r="N9" s="16">
        <f>SUM(N6,N7,N8)</f>
        <v>276.14749756407764</v>
      </c>
      <c r="O9" s="17">
        <f>SUM(O6,O7,O8)</f>
        <v>2606.8525024359224</v>
      </c>
    </row>
    <row r="10" spans="2:15" s="5" customFormat="1" ht="9" customHeight="1" x14ac:dyDescent="0.25">
      <c r="D10" s="10"/>
      <c r="E10" s="13"/>
      <c r="F10" s="13"/>
      <c r="G10" s="13"/>
      <c r="H10" s="13"/>
      <c r="I10" s="19"/>
      <c r="J10" s="19"/>
      <c r="K10" s="2"/>
    </row>
    <row r="11" spans="2:15" s="5" customFormat="1" x14ac:dyDescent="0.25">
      <c r="D11" s="20"/>
      <c r="E11" s="21"/>
      <c r="F11" s="21"/>
      <c r="G11" s="21"/>
      <c r="H11" s="21"/>
      <c r="I11" s="22"/>
      <c r="J11" s="22" t="s">
        <v>29</v>
      </c>
      <c r="K11" s="2"/>
      <c r="O11" s="22" t="s">
        <v>29</v>
      </c>
    </row>
    <row r="12" spans="2:15" s="5" customFormat="1" x14ac:dyDescent="0.25">
      <c r="D12" s="20"/>
      <c r="E12" s="21"/>
      <c r="F12" s="21"/>
      <c r="G12" s="21"/>
      <c r="H12" s="21"/>
      <c r="I12" s="21"/>
      <c r="J12" s="21"/>
      <c r="K12" s="2"/>
    </row>
    <row r="13" spans="2:15" s="5" customFormat="1" x14ac:dyDescent="0.25">
      <c r="D13" s="10"/>
      <c r="E13" s="13"/>
      <c r="F13" s="13"/>
      <c r="G13" s="13"/>
      <c r="H13" s="13"/>
      <c r="I13" s="19"/>
      <c r="J13" s="19"/>
      <c r="K13" s="2"/>
    </row>
    <row r="14" spans="2:15" s="5" customFormat="1" ht="15.75" thickBot="1" x14ac:dyDescent="0.3">
      <c r="D14" s="6"/>
      <c r="E14" s="7" t="s">
        <v>16</v>
      </c>
      <c r="F14" s="7" t="s">
        <v>17</v>
      </c>
      <c r="G14" s="7" t="s">
        <v>88</v>
      </c>
      <c r="H14" s="7" t="s">
        <v>92</v>
      </c>
      <c r="I14" s="8" t="s">
        <v>95</v>
      </c>
      <c r="J14" s="23" t="s">
        <v>2</v>
      </c>
      <c r="K14" s="2"/>
      <c r="L14" s="7" t="s">
        <v>41</v>
      </c>
      <c r="M14" s="7" t="s">
        <v>89</v>
      </c>
      <c r="N14" s="7" t="s">
        <v>93</v>
      </c>
      <c r="O14" s="8" t="s">
        <v>94</v>
      </c>
    </row>
    <row r="15" spans="2:15" s="5" customFormat="1" x14ac:dyDescent="0.25">
      <c r="D15" s="12" t="s">
        <v>39</v>
      </c>
      <c r="E15" s="19">
        <f>-E7/E6</f>
        <v>0.61634822804314326</v>
      </c>
      <c r="F15" s="19">
        <f>-F7/F6</f>
        <v>0.74917232967415925</v>
      </c>
      <c r="G15" s="19">
        <f>-G7/G6</f>
        <v>0.6566249534663956</v>
      </c>
      <c r="H15" s="19">
        <f>-H7/H6</f>
        <v>0.67188672285969575</v>
      </c>
      <c r="I15" s="24">
        <f>-I7/I6</f>
        <v>0.66302938938826117</v>
      </c>
      <c r="J15" s="25">
        <f t="shared" ref="J15:J17" si="3">(I15-E15)*100</f>
        <v>4.6681161345117905</v>
      </c>
      <c r="K15" s="2"/>
      <c r="L15" s="19">
        <f>-L7/L6</f>
        <v>0.74917232967415925</v>
      </c>
      <c r="M15" s="19">
        <f>-M7/M6</f>
        <v>0.56662336195210117</v>
      </c>
      <c r="N15" s="19">
        <f>-N7/N6</f>
        <v>0.70156610285719567</v>
      </c>
      <c r="O15" s="24">
        <f>-O7/O6</f>
        <v>0.63715301819758863</v>
      </c>
    </row>
    <row r="16" spans="2:15" s="5" customFormat="1" ht="15.75" thickBot="1" x14ac:dyDescent="0.3">
      <c r="D16" s="12" t="s">
        <v>40</v>
      </c>
      <c r="E16" s="19">
        <f>-E8/E6</f>
        <v>0.32530046224961479</v>
      </c>
      <c r="F16" s="19">
        <f>-F8/F6</f>
        <v>0.26581285938316779</v>
      </c>
      <c r="G16" s="19">
        <f>-G8/G6</f>
        <v>0.29871710432118209</v>
      </c>
      <c r="H16" s="19">
        <f>-H8/H6</f>
        <v>0.29600975903168342</v>
      </c>
      <c r="I16" s="24">
        <f>-I8/I6</f>
        <v>0.29468990391388883</v>
      </c>
      <c r="J16" s="25">
        <f t="shared" si="3"/>
        <v>-3.0610558335725955</v>
      </c>
      <c r="K16" s="2"/>
      <c r="L16" s="19">
        <f>-L8/L6</f>
        <v>0.26581285938316779</v>
      </c>
      <c r="M16" s="19">
        <f>-M8/M6</f>
        <v>0.33071622232263898</v>
      </c>
      <c r="N16" s="19">
        <f>-N8/N6</f>
        <v>0.29074481709993416</v>
      </c>
      <c r="O16" s="24">
        <f>-O8/O6</f>
        <v>0.29083399614479472</v>
      </c>
    </row>
    <row r="17" spans="4:15" s="5" customFormat="1" ht="15.75" thickBot="1" x14ac:dyDescent="0.3">
      <c r="D17" s="15" t="s">
        <v>36</v>
      </c>
      <c r="E17" s="26">
        <f>-(E7+E8)/E6</f>
        <v>0.94164869029275811</v>
      </c>
      <c r="F17" s="26">
        <f>-(F7+F8)/F6</f>
        <v>1.0149851890573272</v>
      </c>
      <c r="G17" s="26">
        <f>-(G7+G8)/G6</f>
        <v>0.95534205778757764</v>
      </c>
      <c r="H17" s="26">
        <f>-(H7+H8)/H6</f>
        <v>0.96789648189137922</v>
      </c>
      <c r="I17" s="27">
        <f>-(I7+I8)/I6</f>
        <v>0.95771929330215</v>
      </c>
      <c r="J17" s="28">
        <f t="shared" si="3"/>
        <v>1.6070603009391893</v>
      </c>
      <c r="K17" s="2"/>
      <c r="L17" s="26">
        <f>-(L7+L8)/L6</f>
        <v>1.0149851890573272</v>
      </c>
      <c r="M17" s="26">
        <f>-(M7+M8)/M6</f>
        <v>0.89733958427474014</v>
      </c>
      <c r="N17" s="26">
        <f>-(N7+N8)/N6</f>
        <v>0.99231091995712994</v>
      </c>
      <c r="O17" s="27">
        <f>-(O7+O8)/O6</f>
        <v>0.92798701434238318</v>
      </c>
    </row>
  </sheetData>
  <hyperlinks>
    <hyperlink ref="B2" location="'Suplemento Financiero&gt;&gt;&gt;'!A1" display="ÍNDICE" xr:uid="{306FEA67-4A50-4F39-BB2C-4A99290A98EE}"/>
  </hyperlink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O17"/>
  <sheetViews>
    <sheetView showGridLines="0" zoomScaleNormal="100" workbookViewId="0">
      <selection activeCell="B2" sqref="B2"/>
    </sheetView>
  </sheetViews>
  <sheetFormatPr baseColWidth="10" defaultColWidth="10.8554687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82.28515625" style="1" bestFit="1" customWidth="1"/>
    <col min="5" max="5" width="11" style="1" customWidth="1"/>
    <col min="6" max="8" width="11" style="1" customWidth="1" outlineLevel="1"/>
    <col min="9" max="10" width="11" style="1" customWidth="1"/>
    <col min="11" max="11" width="3" style="2" customWidth="1"/>
    <col min="12" max="16384" width="10.85546875" style="1"/>
  </cols>
  <sheetData>
    <row r="1" spans="2:15" ht="16.5" customHeight="1" x14ac:dyDescent="0.25"/>
    <row r="2" spans="2:15" ht="18.75" customHeight="1" thickBot="1" x14ac:dyDescent="0.3">
      <c r="B2" s="3" t="s">
        <v>27</v>
      </c>
      <c r="D2" s="4" t="s">
        <v>111</v>
      </c>
      <c r="E2" s="4"/>
      <c r="F2" s="4"/>
      <c r="G2" s="4"/>
      <c r="H2" s="4"/>
      <c r="I2" s="4"/>
      <c r="J2" s="4"/>
      <c r="L2" s="4" t="s">
        <v>34</v>
      </c>
      <c r="M2" s="4"/>
      <c r="N2" s="4"/>
      <c r="O2" s="4"/>
    </row>
    <row r="4" spans="2:15" s="5" customFormat="1" ht="15.75" thickBot="1" x14ac:dyDescent="0.3">
      <c r="D4" s="6"/>
      <c r="E4" s="7" t="s">
        <v>16</v>
      </c>
      <c r="F4" s="7" t="s">
        <v>17</v>
      </c>
      <c r="G4" s="7" t="s">
        <v>88</v>
      </c>
      <c r="H4" s="7" t="s">
        <v>92</v>
      </c>
      <c r="I4" s="8" t="s">
        <v>95</v>
      </c>
      <c r="J4" s="9" t="s">
        <v>0</v>
      </c>
      <c r="K4" s="2"/>
      <c r="L4" s="7" t="s">
        <v>41</v>
      </c>
      <c r="M4" s="7" t="s">
        <v>89</v>
      </c>
      <c r="N4" s="7" t="s">
        <v>93</v>
      </c>
      <c r="O4" s="8" t="s">
        <v>94</v>
      </c>
    </row>
    <row r="5" spans="2:15" s="5" customFormat="1" x14ac:dyDescent="0.25">
      <c r="D5" s="10" t="s">
        <v>96</v>
      </c>
      <c r="E5" s="29">
        <v>29082</v>
      </c>
      <c r="F5" s="29">
        <v>14335</v>
      </c>
      <c r="G5" s="29">
        <v>19803</v>
      </c>
      <c r="H5" s="29">
        <v>24335.525670000003</v>
      </c>
      <c r="I5" s="30">
        <v>30384</v>
      </c>
      <c r="J5" s="11">
        <f>+I5/E5-1</f>
        <v>4.4769960800495223E-2</v>
      </c>
      <c r="K5" s="2"/>
      <c r="L5" s="29">
        <f>F5</f>
        <v>14335</v>
      </c>
      <c r="M5" s="29">
        <f>G5-F5</f>
        <v>5468</v>
      </c>
      <c r="N5" s="29">
        <f>H5-G5</f>
        <v>4532.5256700000027</v>
      </c>
      <c r="O5" s="30">
        <f>I5-H5</f>
        <v>6048.4743299999973</v>
      </c>
    </row>
    <row r="6" spans="2:15" s="5" customFormat="1" x14ac:dyDescent="0.25">
      <c r="D6" s="10" t="s">
        <v>97</v>
      </c>
      <c r="E6" s="29">
        <v>15601</v>
      </c>
      <c r="F6" s="29">
        <v>4004</v>
      </c>
      <c r="G6" s="29">
        <v>8064</v>
      </c>
      <c r="H6" s="29">
        <v>12203.51520999998</v>
      </c>
      <c r="I6" s="30">
        <v>16413</v>
      </c>
      <c r="J6" s="11">
        <f t="shared" ref="J6:J9" si="0">+I6/E6-1</f>
        <v>5.2047945644509985E-2</v>
      </c>
      <c r="K6" s="2"/>
      <c r="L6" s="29">
        <f t="shared" ref="L6:L8" si="1">F6</f>
        <v>4004</v>
      </c>
      <c r="M6" s="29">
        <f t="shared" ref="M6:O8" si="2">G6-F6</f>
        <v>4060</v>
      </c>
      <c r="N6" s="29">
        <f t="shared" si="2"/>
        <v>4139.5152099999796</v>
      </c>
      <c r="O6" s="30">
        <f t="shared" si="2"/>
        <v>4209.4847900000204</v>
      </c>
    </row>
    <row r="7" spans="2:15" s="150" customFormat="1" x14ac:dyDescent="0.25">
      <c r="D7" s="149" t="s">
        <v>37</v>
      </c>
      <c r="E7" s="31">
        <v>-14494</v>
      </c>
      <c r="F7" s="31">
        <v>-3646</v>
      </c>
      <c r="G7" s="31">
        <v>-7523</v>
      </c>
      <c r="H7" s="31">
        <v>-10682.959389206835</v>
      </c>
      <c r="I7" s="32">
        <v>-13299</v>
      </c>
      <c r="J7" s="14">
        <f t="shared" si="0"/>
        <v>-8.2447909479784753E-2</v>
      </c>
      <c r="L7" s="31">
        <f t="shared" si="1"/>
        <v>-3646</v>
      </c>
      <c r="M7" s="31">
        <f t="shared" si="2"/>
        <v>-3877</v>
      </c>
      <c r="N7" s="31">
        <f t="shared" si="2"/>
        <v>-3159.9593892068351</v>
      </c>
      <c r="O7" s="32">
        <f t="shared" si="2"/>
        <v>-2616.0406107931649</v>
      </c>
    </row>
    <row r="8" spans="2:15" s="5" customFormat="1" ht="15.75" thickBot="1" x14ac:dyDescent="0.3">
      <c r="D8" s="115" t="s">
        <v>38</v>
      </c>
      <c r="E8" s="116">
        <v>-9565</v>
      </c>
      <c r="F8" s="116">
        <v>-2562</v>
      </c>
      <c r="G8" s="116">
        <v>-5148</v>
      </c>
      <c r="H8" s="116">
        <v>-8521.0161038257993</v>
      </c>
      <c r="I8" s="117">
        <v>-12672</v>
      </c>
      <c r="J8" s="118">
        <f t="shared" si="0"/>
        <v>0.3248301097752222</v>
      </c>
      <c r="K8" s="2"/>
      <c r="L8" s="116">
        <f t="shared" si="1"/>
        <v>-2562</v>
      </c>
      <c r="M8" s="116">
        <f t="shared" si="2"/>
        <v>-2586</v>
      </c>
      <c r="N8" s="116">
        <f t="shared" si="2"/>
        <v>-3373.0161038257993</v>
      </c>
      <c r="O8" s="117">
        <f t="shared" si="2"/>
        <v>-4150.9838961742007</v>
      </c>
    </row>
    <row r="9" spans="2:15" s="5" customFormat="1" ht="15.75" thickBot="1" x14ac:dyDescent="0.3">
      <c r="D9" s="15" t="s">
        <v>35</v>
      </c>
      <c r="E9" s="16">
        <f>SUM(E6,E7,E8)</f>
        <v>-8458</v>
      </c>
      <c r="F9" s="16">
        <f>SUM(F6,F7,F8)</f>
        <v>-2204</v>
      </c>
      <c r="G9" s="16">
        <f>SUM(G6,G7,G8)</f>
        <v>-4607</v>
      </c>
      <c r="H9" s="16">
        <f>SUM(H6,H7,H8)</f>
        <v>-7000.4602830326548</v>
      </c>
      <c r="I9" s="17">
        <f>SUM(I6,I7,I8)</f>
        <v>-9558</v>
      </c>
      <c r="J9" s="18">
        <f t="shared" si="0"/>
        <v>0.13005438637975875</v>
      </c>
      <c r="K9" s="2"/>
      <c r="L9" s="16">
        <f>SUM(L6,L7,L8)</f>
        <v>-2204</v>
      </c>
      <c r="M9" s="16">
        <f>SUM(M6,M7,M8)</f>
        <v>-2403</v>
      </c>
      <c r="N9" s="16">
        <f>SUM(N6,N7,N8)</f>
        <v>-2393.4602830326548</v>
      </c>
      <c r="O9" s="17">
        <f>SUM(O6,O7,O8)</f>
        <v>-2557.5397169673452</v>
      </c>
    </row>
    <row r="10" spans="2:15" s="5" customFormat="1" ht="9" customHeight="1" x14ac:dyDescent="0.25">
      <c r="D10" s="10"/>
      <c r="E10" s="13"/>
      <c r="F10" s="13"/>
      <c r="G10" s="13"/>
      <c r="H10" s="13"/>
      <c r="I10" s="19"/>
      <c r="J10" s="19"/>
      <c r="K10" s="2"/>
    </row>
    <row r="11" spans="2:15" s="5" customFormat="1" x14ac:dyDescent="0.25">
      <c r="D11" s="20"/>
      <c r="E11" s="21"/>
      <c r="F11" s="21"/>
      <c r="G11" s="21"/>
      <c r="H11" s="21"/>
      <c r="I11" s="22"/>
      <c r="J11" s="22" t="s">
        <v>29</v>
      </c>
      <c r="K11" s="2"/>
      <c r="O11" s="22" t="s">
        <v>29</v>
      </c>
    </row>
    <row r="12" spans="2:15" s="5" customFormat="1" x14ac:dyDescent="0.25">
      <c r="D12" s="20"/>
      <c r="E12" s="21"/>
      <c r="F12" s="21"/>
      <c r="G12" s="21"/>
      <c r="H12" s="21"/>
      <c r="I12" s="21"/>
      <c r="J12" s="21"/>
      <c r="K12" s="2"/>
    </row>
    <row r="13" spans="2:15" s="5" customFormat="1" x14ac:dyDescent="0.25">
      <c r="D13" s="10"/>
      <c r="E13" s="13"/>
      <c r="F13" s="13"/>
      <c r="G13" s="13"/>
      <c r="H13" s="13"/>
      <c r="I13" s="19"/>
      <c r="J13" s="19"/>
      <c r="K13" s="2"/>
    </row>
    <row r="14" spans="2:15" s="5" customFormat="1" ht="15.75" thickBot="1" x14ac:dyDescent="0.3">
      <c r="D14" s="6"/>
      <c r="E14" s="7" t="s">
        <v>16</v>
      </c>
      <c r="F14" s="7" t="s">
        <v>17</v>
      </c>
      <c r="G14" s="7" t="s">
        <v>88</v>
      </c>
      <c r="H14" s="7" t="s">
        <v>92</v>
      </c>
      <c r="I14" s="8" t="s">
        <v>95</v>
      </c>
      <c r="J14" s="23" t="s">
        <v>2</v>
      </c>
      <c r="K14" s="2"/>
      <c r="L14" s="7" t="s">
        <v>41</v>
      </c>
      <c r="M14" s="7" t="s">
        <v>89</v>
      </c>
      <c r="N14" s="7" t="s">
        <v>93</v>
      </c>
      <c r="O14" s="8" t="s">
        <v>94</v>
      </c>
    </row>
    <row r="15" spans="2:15" s="5" customFormat="1" x14ac:dyDescent="0.25">
      <c r="D15" s="12" t="s">
        <v>39</v>
      </c>
      <c r="E15" s="19">
        <f>-E7/E6</f>
        <v>0.92904301006345746</v>
      </c>
      <c r="F15" s="19">
        <f>-F7/F6</f>
        <v>0.91058941058941056</v>
      </c>
      <c r="G15" s="19">
        <f>-G7/G6</f>
        <v>0.93291170634920639</v>
      </c>
      <c r="H15" s="19">
        <f>-H7/H6</f>
        <v>0.87540017817594484</v>
      </c>
      <c r="I15" s="24">
        <f>-I7/I6</f>
        <v>0.81027234509230484</v>
      </c>
      <c r="J15" s="25">
        <f t="shared" ref="J15:J17" si="3">(I15-E15)*100</f>
        <v>-11.877066497115262</v>
      </c>
      <c r="K15" s="2"/>
      <c r="L15" s="19">
        <f>-L7/L6</f>
        <v>0.91058941058941056</v>
      </c>
      <c r="M15" s="19">
        <f>-M7/M6</f>
        <v>0.95492610837438419</v>
      </c>
      <c r="N15" s="19">
        <f>-N7/N6</f>
        <v>0.76336460404184636</v>
      </c>
      <c r="O15" s="24">
        <f>-O7/O6</f>
        <v>0.62146337171897759</v>
      </c>
    </row>
    <row r="16" spans="2:15" s="5" customFormat="1" ht="15.75" thickBot="1" x14ac:dyDescent="0.3">
      <c r="D16" s="12" t="s">
        <v>40</v>
      </c>
      <c r="E16" s="19">
        <f>-E8/E6</f>
        <v>0.61310172424844567</v>
      </c>
      <c r="F16" s="19">
        <f>-F8/F6</f>
        <v>0.6398601398601399</v>
      </c>
      <c r="G16" s="19">
        <f>-G8/G6</f>
        <v>0.6383928571428571</v>
      </c>
      <c r="H16" s="19">
        <f>-H8/H6</f>
        <v>0.69824275687741066</v>
      </c>
      <c r="I16" s="24">
        <f>-I8/I6</f>
        <v>0.77207091939316397</v>
      </c>
      <c r="J16" s="25">
        <f t="shared" si="3"/>
        <v>15.896919514471829</v>
      </c>
      <c r="K16" s="2"/>
      <c r="L16" s="19">
        <f>-L8/L6</f>
        <v>0.6398601398601399</v>
      </c>
      <c r="M16" s="19">
        <f>-M8/M6</f>
        <v>0.63694581280788176</v>
      </c>
      <c r="N16" s="19">
        <f>-N8/N6</f>
        <v>0.81483360555783924</v>
      </c>
      <c r="O16" s="24">
        <f>-O8/O6</f>
        <v>0.98610260002250316</v>
      </c>
    </row>
    <row r="17" spans="4:15" s="5" customFormat="1" ht="15.75" thickBot="1" x14ac:dyDescent="0.3">
      <c r="D17" s="15" t="s">
        <v>36</v>
      </c>
      <c r="E17" s="26">
        <f>-(E7+E8)/E6</f>
        <v>1.542144734311903</v>
      </c>
      <c r="F17" s="26">
        <f>-(F7+F8)/F6</f>
        <v>1.5504495504495504</v>
      </c>
      <c r="G17" s="26">
        <f>-(G7+G8)/G6</f>
        <v>1.5713045634920635</v>
      </c>
      <c r="H17" s="26">
        <f>-(H7+H8)/H6</f>
        <v>1.5736429350533556</v>
      </c>
      <c r="I17" s="27">
        <f>-(I7+I8)/I6</f>
        <v>1.5823432644854689</v>
      </c>
      <c r="J17" s="28">
        <f t="shared" si="3"/>
        <v>4.0198530173565894</v>
      </c>
      <c r="K17" s="2"/>
      <c r="L17" s="26">
        <f>-(L7+L8)/L6</f>
        <v>1.5504495504495504</v>
      </c>
      <c r="M17" s="26">
        <f>-(M7+M8)/M6</f>
        <v>1.5918719211822661</v>
      </c>
      <c r="N17" s="26">
        <f>-(N7+N8)/N6</f>
        <v>1.5781982095996856</v>
      </c>
      <c r="O17" s="27">
        <f>-(O7+O8)/O6</f>
        <v>1.6075659717414807</v>
      </c>
    </row>
  </sheetData>
  <hyperlinks>
    <hyperlink ref="B2" location="'Suplemento Financiero&gt;&gt;&gt;'!A1" display="ÍNDICE" xr:uid="{2CA28E70-81A8-4385-8477-8DB91EDA5CD5}"/>
  </hyperlinks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O17"/>
  <sheetViews>
    <sheetView showGridLines="0" zoomScaleNormal="100" workbookViewId="0">
      <selection activeCell="B2" sqref="B2"/>
    </sheetView>
  </sheetViews>
  <sheetFormatPr baseColWidth="10" defaultColWidth="10.85546875" defaultRowHeight="15" outlineLevelCol="1" x14ac:dyDescent="0.25"/>
  <cols>
    <col min="1" max="1" width="1.5703125" style="1" customWidth="1"/>
    <col min="2" max="2" width="10.7109375" style="1" customWidth="1"/>
    <col min="3" max="3" width="1.5703125" style="1" customWidth="1"/>
    <col min="4" max="4" width="82.28515625" style="1" bestFit="1" customWidth="1"/>
    <col min="5" max="5" width="11" style="1" customWidth="1"/>
    <col min="6" max="8" width="11" style="1" customWidth="1" outlineLevel="1"/>
    <col min="9" max="10" width="11" style="1" customWidth="1"/>
    <col min="11" max="11" width="3" style="2" customWidth="1"/>
    <col min="12" max="16384" width="10.85546875" style="1"/>
  </cols>
  <sheetData>
    <row r="1" spans="2:15" ht="16.5" customHeight="1" x14ac:dyDescent="0.25"/>
    <row r="2" spans="2:15" ht="18.75" customHeight="1" thickBot="1" x14ac:dyDescent="0.3">
      <c r="B2" s="3" t="s">
        <v>27</v>
      </c>
      <c r="D2" s="4" t="s">
        <v>112</v>
      </c>
      <c r="E2" s="4"/>
      <c r="F2" s="4"/>
      <c r="G2" s="4"/>
      <c r="H2" s="4"/>
      <c r="I2" s="4"/>
      <c r="J2" s="4"/>
      <c r="L2" s="4" t="s">
        <v>34</v>
      </c>
      <c r="M2" s="4"/>
      <c r="N2" s="4"/>
      <c r="O2" s="4"/>
    </row>
    <row r="4" spans="2:15" s="5" customFormat="1" ht="15.75" thickBot="1" x14ac:dyDescent="0.3">
      <c r="D4" s="6"/>
      <c r="E4" s="7" t="s">
        <v>16</v>
      </c>
      <c r="F4" s="7" t="s">
        <v>17</v>
      </c>
      <c r="G4" s="7" t="s">
        <v>88</v>
      </c>
      <c r="H4" s="7" t="s">
        <v>92</v>
      </c>
      <c r="I4" s="8" t="s">
        <v>95</v>
      </c>
      <c r="J4" s="9" t="s">
        <v>0</v>
      </c>
      <c r="K4" s="2"/>
      <c r="L4" s="7" t="s">
        <v>41</v>
      </c>
      <c r="M4" s="7" t="s">
        <v>89</v>
      </c>
      <c r="N4" s="7" t="s">
        <v>93</v>
      </c>
      <c r="O4" s="8" t="s">
        <v>94</v>
      </c>
    </row>
    <row r="5" spans="2:15" s="5" customFormat="1" x14ac:dyDescent="0.25">
      <c r="D5" s="10" t="s">
        <v>96</v>
      </c>
      <c r="E5" s="29">
        <v>1097</v>
      </c>
      <c r="F5" s="29">
        <v>741</v>
      </c>
      <c r="G5" s="29">
        <v>754</v>
      </c>
      <c r="H5" s="29">
        <v>767.40494000000001</v>
      </c>
      <c r="I5" s="30">
        <v>783</v>
      </c>
      <c r="J5" s="11">
        <f>+I5/E5-1</f>
        <v>-0.28623518687329075</v>
      </c>
      <c r="K5" s="2"/>
      <c r="L5" s="29">
        <f>F5</f>
        <v>741</v>
      </c>
      <c r="M5" s="29">
        <f>G5-F5</f>
        <v>13</v>
      </c>
      <c r="N5" s="29">
        <f>H5-G5</f>
        <v>13.404940000000011</v>
      </c>
      <c r="O5" s="30">
        <f>I5-H5</f>
        <v>15.595059999999989</v>
      </c>
    </row>
    <row r="6" spans="2:15" s="5" customFormat="1" x14ac:dyDescent="0.25">
      <c r="D6" s="10" t="s">
        <v>97</v>
      </c>
      <c r="E6" s="29">
        <v>1065</v>
      </c>
      <c r="F6" s="29">
        <v>235</v>
      </c>
      <c r="G6" s="29">
        <v>413</v>
      </c>
      <c r="H6" s="29">
        <v>593.17659999999989</v>
      </c>
      <c r="I6" s="30">
        <v>773</v>
      </c>
      <c r="J6" s="11">
        <f t="shared" ref="J6:J9" si="0">+I6/E6-1</f>
        <v>-0.27417840375586855</v>
      </c>
      <c r="K6" s="2"/>
      <c r="L6" s="29">
        <f t="shared" ref="L6:L8" si="1">F6</f>
        <v>235</v>
      </c>
      <c r="M6" s="29">
        <f t="shared" ref="M6:O8" si="2">G6-F6</f>
        <v>178</v>
      </c>
      <c r="N6" s="29">
        <f t="shared" si="2"/>
        <v>180.17659999999989</v>
      </c>
      <c r="O6" s="30">
        <f t="shared" si="2"/>
        <v>179.82340000000011</v>
      </c>
    </row>
    <row r="7" spans="2:15" s="150" customFormat="1" x14ac:dyDescent="0.25">
      <c r="D7" s="149" t="s">
        <v>37</v>
      </c>
      <c r="E7" s="31">
        <v>-647</v>
      </c>
      <c r="F7" s="31">
        <v>-95</v>
      </c>
      <c r="G7" s="31">
        <v>-195</v>
      </c>
      <c r="H7" s="31">
        <v>-304.53767000000005</v>
      </c>
      <c r="I7" s="32">
        <v>-476</v>
      </c>
      <c r="J7" s="14">
        <f t="shared" si="0"/>
        <v>-0.26429675425038635</v>
      </c>
      <c r="L7" s="31">
        <f t="shared" si="1"/>
        <v>-95</v>
      </c>
      <c r="M7" s="31">
        <f t="shared" si="2"/>
        <v>-100</v>
      </c>
      <c r="N7" s="31">
        <f t="shared" si="2"/>
        <v>-109.53767000000005</v>
      </c>
      <c r="O7" s="32">
        <f t="shared" si="2"/>
        <v>-171.46232999999995</v>
      </c>
    </row>
    <row r="8" spans="2:15" s="5" customFormat="1" ht="15.75" thickBot="1" x14ac:dyDescent="0.3">
      <c r="D8" s="115" t="s">
        <v>38</v>
      </c>
      <c r="E8" s="116">
        <v>-66</v>
      </c>
      <c r="F8" s="116">
        <v>-36</v>
      </c>
      <c r="G8" s="116">
        <v>-43</v>
      </c>
      <c r="H8" s="116">
        <v>-57.527856415499997</v>
      </c>
      <c r="I8" s="117">
        <v>-59</v>
      </c>
      <c r="J8" s="118">
        <f t="shared" si="0"/>
        <v>-0.10606060606060608</v>
      </c>
      <c r="K8" s="2"/>
      <c r="L8" s="116">
        <f t="shared" si="1"/>
        <v>-36</v>
      </c>
      <c r="M8" s="116">
        <f t="shared" si="2"/>
        <v>-7</v>
      </c>
      <c r="N8" s="116">
        <f t="shared" si="2"/>
        <v>-14.527856415499997</v>
      </c>
      <c r="O8" s="117">
        <f t="shared" si="2"/>
        <v>-1.472143584500003</v>
      </c>
    </row>
    <row r="9" spans="2:15" s="5" customFormat="1" ht="15.75" thickBot="1" x14ac:dyDescent="0.3">
      <c r="D9" s="15" t="s">
        <v>35</v>
      </c>
      <c r="E9" s="16">
        <f>SUM(E6,E7,E8)</f>
        <v>352</v>
      </c>
      <c r="F9" s="16">
        <f>SUM(F6,F7,F8)</f>
        <v>104</v>
      </c>
      <c r="G9" s="16">
        <f>SUM(G6,G7,G8)</f>
        <v>175</v>
      </c>
      <c r="H9" s="16">
        <f>SUM(H6,H7,H8)</f>
        <v>231.11107358449985</v>
      </c>
      <c r="I9" s="17">
        <f>SUM(I6,I7,I8)</f>
        <v>238</v>
      </c>
      <c r="J9" s="18">
        <f t="shared" si="0"/>
        <v>-0.32386363636363635</v>
      </c>
      <c r="K9" s="2"/>
      <c r="L9" s="16">
        <f>SUM(L6,L7,L8)</f>
        <v>104</v>
      </c>
      <c r="M9" s="16">
        <f>SUM(M6,M7,M8)</f>
        <v>71</v>
      </c>
      <c r="N9" s="16">
        <f>SUM(N6,N7,N8)</f>
        <v>56.111073584499849</v>
      </c>
      <c r="O9" s="17">
        <f>SUM(O6,O7,O8)</f>
        <v>6.8889264155001513</v>
      </c>
    </row>
    <row r="10" spans="2:15" s="5" customFormat="1" ht="9" customHeight="1" x14ac:dyDescent="0.25">
      <c r="D10" s="10"/>
      <c r="E10" s="13"/>
      <c r="F10" s="13"/>
      <c r="G10" s="13"/>
      <c r="H10" s="13"/>
      <c r="I10" s="19"/>
      <c r="J10" s="19"/>
      <c r="K10" s="2"/>
    </row>
    <row r="11" spans="2:15" s="5" customFormat="1" x14ac:dyDescent="0.25">
      <c r="D11" s="20"/>
      <c r="E11" s="21"/>
      <c r="F11" s="21"/>
      <c r="G11" s="21"/>
      <c r="H11" s="21"/>
      <c r="I11" s="22"/>
      <c r="J11" s="22" t="s">
        <v>29</v>
      </c>
      <c r="K11" s="2"/>
      <c r="O11" s="22" t="s">
        <v>29</v>
      </c>
    </row>
    <row r="12" spans="2:15" s="5" customFormat="1" x14ac:dyDescent="0.25">
      <c r="D12" s="20"/>
      <c r="E12" s="21"/>
      <c r="F12" s="21"/>
      <c r="G12" s="21"/>
      <c r="H12" s="21"/>
      <c r="I12" s="21"/>
      <c r="J12" s="21"/>
      <c r="K12" s="2"/>
    </row>
    <row r="13" spans="2:15" s="5" customFormat="1" x14ac:dyDescent="0.25">
      <c r="D13" s="10"/>
      <c r="E13" s="13"/>
      <c r="F13" s="13"/>
      <c r="G13" s="13"/>
      <c r="H13" s="13"/>
      <c r="I13" s="19"/>
      <c r="J13" s="19"/>
      <c r="K13" s="2"/>
    </row>
    <row r="14" spans="2:15" s="5" customFormat="1" ht="15.75" thickBot="1" x14ac:dyDescent="0.3">
      <c r="D14" s="6"/>
      <c r="E14" s="7" t="s">
        <v>16</v>
      </c>
      <c r="F14" s="7" t="s">
        <v>17</v>
      </c>
      <c r="G14" s="7" t="s">
        <v>88</v>
      </c>
      <c r="H14" s="7" t="s">
        <v>92</v>
      </c>
      <c r="I14" s="8" t="s">
        <v>95</v>
      </c>
      <c r="J14" s="23" t="s">
        <v>2</v>
      </c>
      <c r="K14" s="2"/>
      <c r="L14" s="7" t="s">
        <v>41</v>
      </c>
      <c r="M14" s="7" t="s">
        <v>89</v>
      </c>
      <c r="N14" s="7" t="s">
        <v>93</v>
      </c>
      <c r="O14" s="8" t="s">
        <v>94</v>
      </c>
    </row>
    <row r="15" spans="2:15" s="5" customFormat="1" x14ac:dyDescent="0.25">
      <c r="D15" s="12" t="s">
        <v>39</v>
      </c>
      <c r="E15" s="19">
        <f>-E7/E6</f>
        <v>0.60751173708920192</v>
      </c>
      <c r="F15" s="19">
        <f>-F7/F6</f>
        <v>0.40425531914893614</v>
      </c>
      <c r="G15" s="19">
        <f>-G7/G6</f>
        <v>0.4721549636803874</v>
      </c>
      <c r="H15" s="19">
        <f>-H7/H6</f>
        <v>0.51340135467245351</v>
      </c>
      <c r="I15" s="24">
        <f>-I7/I6</f>
        <v>0.61578266494178524</v>
      </c>
      <c r="J15" s="25">
        <f t="shared" ref="J15:J17" si="3">(I15-E15)*100</f>
        <v>0.82709278525833207</v>
      </c>
      <c r="K15" s="2"/>
      <c r="L15" s="19">
        <f>-L7/L6</f>
        <v>0.40425531914893614</v>
      </c>
      <c r="M15" s="19">
        <f>-M7/M6</f>
        <v>0.5617977528089888</v>
      </c>
      <c r="N15" s="19">
        <f>-N7/N6</f>
        <v>0.60794614838996919</v>
      </c>
      <c r="O15" s="24">
        <f>-O7/O6</f>
        <v>0.95350399336237579</v>
      </c>
    </row>
    <row r="16" spans="2:15" s="5" customFormat="1" ht="15.75" thickBot="1" x14ac:dyDescent="0.3">
      <c r="D16" s="12" t="s">
        <v>40</v>
      </c>
      <c r="E16" s="19">
        <f>-E8/E6</f>
        <v>6.1971830985915494E-2</v>
      </c>
      <c r="F16" s="19">
        <f>-F8/F6</f>
        <v>0.15319148936170213</v>
      </c>
      <c r="G16" s="19">
        <f>-G8/G6</f>
        <v>0.10411622276029056</v>
      </c>
      <c r="H16" s="19">
        <f>-H8/H6</f>
        <v>9.6982680057675921E-2</v>
      </c>
      <c r="I16" s="24">
        <f>-I8/I6</f>
        <v>7.6326002587322125E-2</v>
      </c>
      <c r="J16" s="25">
        <f t="shared" si="3"/>
        <v>1.4354171601406631</v>
      </c>
      <c r="K16" s="2"/>
      <c r="L16" s="19">
        <f>-L8/L6</f>
        <v>0.15319148936170213</v>
      </c>
      <c r="M16" s="19">
        <f>-M8/M6</f>
        <v>3.9325842696629212E-2</v>
      </c>
      <c r="N16" s="19">
        <f>-N8/N6</f>
        <v>8.0631205248073309E-2</v>
      </c>
      <c r="O16" s="24">
        <f>-O8/O6</f>
        <v>8.1866074409670947E-3</v>
      </c>
    </row>
    <row r="17" spans="4:15" s="5" customFormat="1" ht="15.75" thickBot="1" x14ac:dyDescent="0.3">
      <c r="D17" s="15" t="s">
        <v>36</v>
      </c>
      <c r="E17" s="26">
        <f>-(E7+E8)/E6</f>
        <v>0.66948356807511733</v>
      </c>
      <c r="F17" s="26">
        <f>-(F7+F8)/F6</f>
        <v>0.55744680851063833</v>
      </c>
      <c r="G17" s="26">
        <f>-(G7+G8)/G6</f>
        <v>0.57627118644067798</v>
      </c>
      <c r="H17" s="26">
        <f>-(H7+H8)/H6</f>
        <v>0.61038403473012937</v>
      </c>
      <c r="I17" s="27">
        <f>-(I7+I8)/I6</f>
        <v>0.69210866752910738</v>
      </c>
      <c r="J17" s="28">
        <f t="shared" si="3"/>
        <v>2.262509945399005</v>
      </c>
      <c r="K17" s="2"/>
      <c r="L17" s="26">
        <f>-(L7+L8)/L6</f>
        <v>0.55744680851063833</v>
      </c>
      <c r="M17" s="26">
        <f>-(M7+M8)/M6</f>
        <v>0.601123595505618</v>
      </c>
      <c r="N17" s="26">
        <f>-(N7+N8)/N6</f>
        <v>0.6885773536380424</v>
      </c>
      <c r="O17" s="27">
        <f>-(O7+O8)/O6</f>
        <v>0.9616906008033429</v>
      </c>
    </row>
  </sheetData>
  <hyperlinks>
    <hyperlink ref="B2" location="'Suplemento Financiero&gt;&gt;&gt;'!A1" display="ÍNDICE" xr:uid="{C6BE4155-13A2-42F8-8B0E-14710819BCDD}"/>
  </hyperlink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9</vt:i4>
      </vt:variant>
    </vt:vector>
  </HeadingPairs>
  <TitlesOfParts>
    <vt:vector size="28" baseType="lpstr">
      <vt:lpstr>Suplemento Financiero&gt;&gt;&gt;</vt:lpstr>
      <vt:lpstr>NIIF 17&amp;9&gt;&gt;&gt;</vt:lpstr>
      <vt:lpstr>Balance - NIIF 17&amp;9</vt:lpstr>
      <vt:lpstr>P&amp;G - NIIF 17&amp;9</vt:lpstr>
      <vt:lpstr>Líneas de Negocio - NIIF 17&amp;9</vt:lpstr>
      <vt:lpstr>Motor - NIIF 17&amp;9</vt:lpstr>
      <vt:lpstr>Hogar - NIIF 17&amp;9</vt:lpstr>
      <vt:lpstr>Salud - NIIF 17&amp;9</vt:lpstr>
      <vt:lpstr>Otros - NIIF 17&amp;9</vt:lpstr>
      <vt:lpstr>NIIF 4&gt;&gt;&gt;</vt:lpstr>
      <vt:lpstr>P&amp;G - NIIF 4</vt:lpstr>
      <vt:lpstr>Líneas de Negocio - NIIF 4</vt:lpstr>
      <vt:lpstr>Motor - NIIF 4</vt:lpstr>
      <vt:lpstr>Hogar - NIIF 4</vt:lpstr>
      <vt:lpstr>Salud - NIIF 4</vt:lpstr>
      <vt:lpstr>Otros - NIIF 4</vt:lpstr>
      <vt:lpstr>Ratio Combinado</vt:lpstr>
      <vt:lpstr>Solvencia</vt:lpstr>
      <vt:lpstr>Inversiones</vt:lpstr>
      <vt:lpstr>'Balance - NIIF 17&amp;9'!Área_de_impresión</vt:lpstr>
      <vt:lpstr>'Hogar - NIIF 17&amp;9'!Área_de_impresión</vt:lpstr>
      <vt:lpstr>'Motor - NIIF 17&amp;9'!Área_de_impresión</vt:lpstr>
      <vt:lpstr>'Motor - NIIF 4'!Área_de_impresión</vt:lpstr>
      <vt:lpstr>'Otros - NIIF 17&amp;9'!Área_de_impresión</vt:lpstr>
      <vt:lpstr>'Otros - NIIF 4'!Área_de_impresión</vt:lpstr>
      <vt:lpstr>'P&amp;G - NIIF 17&amp;9'!Área_de_impresión</vt:lpstr>
      <vt:lpstr>'P&amp;G - NIIF 4'!Área_de_impresión</vt:lpstr>
      <vt:lpstr>'Salud - NIIF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2024-02-29T11:29:32Z</dcterms:modified>
</cp:coreProperties>
</file>