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1. Resultados\2023\3M 2023\3. Suplemento Financiero\Sin vinculos para la página web\"/>
    </mc:Choice>
  </mc:AlternateContent>
  <xr:revisionPtr revIDLastSave="0" documentId="13_ncr:1_{F3EF4F63-8A13-4D48-A02C-E55FF78A35DE}" xr6:coauthVersionLast="47" xr6:coauthVersionMax="47" xr10:uidLastSave="{00000000-0000-0000-0000-000000000000}"/>
  <bookViews>
    <workbookView xWindow="-120" yWindow="-120" windowWidth="29040" windowHeight="15840" tabRatio="841" xr2:uid="{5194AF5B-AFC5-46C3-A2BA-B646D8111C19}"/>
  </bookViews>
  <sheets>
    <sheet name="Suplemento Financiero&gt;&gt;&gt;" sheetId="18" r:id="rId1"/>
    <sheet name="Balance" sheetId="24" r:id="rId2"/>
    <sheet name="P&amp;G" sheetId="25" r:id="rId3"/>
    <sheet name="Líneas de Negocio" sheetId="13" r:id="rId4"/>
    <sheet name="Motor" sheetId="14" r:id="rId5"/>
    <sheet name="Hogar" sheetId="20" r:id="rId6"/>
    <sheet name="Salud" sheetId="21" r:id="rId7"/>
    <sheet name="Otros" sheetId="22" r:id="rId8"/>
    <sheet name="Balance - NIIF 17&amp;9" sheetId="26" r:id="rId9"/>
    <sheet name="P&amp;G - NIIF 17&amp;9" sheetId="27" r:id="rId10"/>
    <sheet name="Inversiones" sheetId="19" r:id="rId11"/>
    <sheet name="Solvencia" sheetId="23" r:id="rId12"/>
  </sheets>
  <externalReferences>
    <externalReference r:id="rId13"/>
    <externalReference r:id="rId14"/>
  </externalReferences>
  <definedNames>
    <definedName name="_IsComposite">[1]Participant!$G$15</definedName>
    <definedName name="_TS_">[1]P.Index!$F$40</definedName>
    <definedName name="_xlnm.Print_Area" localSheetId="1">Balance!$B$1:$H$37</definedName>
    <definedName name="_xlnm.Print_Area" localSheetId="8">'Balance - NIIF 17&amp;9'!$B$1:$D$38</definedName>
    <definedName name="_xlnm.Print_Area" localSheetId="4">Motor!$B$1:$AA$18</definedName>
    <definedName name="_xlnm.Print_Area" localSheetId="7">Otros!$B$1:$AA$19</definedName>
    <definedName name="_xlnm.Print_Area" localSheetId="2">'P&amp;G'!$B$1:$Z$26</definedName>
    <definedName name="_xlnm.Print_Area" localSheetId="9">'P&amp;G - NIIF 17&amp;9'!$B$1:$F$3</definedName>
    <definedName name="numeroescenarios">[2]Escenarios!$D$6</definedName>
    <definedName name="Version">[1]P.Index!$I$2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6" l="1"/>
  <c r="E29" i="26" s="1"/>
  <c r="E25" i="26"/>
  <c r="F25" i="26"/>
  <c r="F28" i="26"/>
  <c r="F12" i="26"/>
  <c r="E12" i="26"/>
  <c r="F29" i="26" l="1"/>
  <c r="E7" i="27" l="1"/>
  <c r="E9" i="27" s="1"/>
  <c r="E12" i="27" s="1"/>
  <c r="E14" i="27" s="1"/>
  <c r="F7" i="27"/>
  <c r="F9" i="27" l="1"/>
  <c r="F12" i="27" l="1"/>
  <c r="F14" i="27" l="1"/>
  <c r="I26" i="23" l="1"/>
  <c r="I25" i="23"/>
  <c r="I20" i="23"/>
  <c r="I9" i="23"/>
  <c r="I53" i="19"/>
  <c r="I36" i="19"/>
  <c r="I13" i="19"/>
  <c r="I6" i="19"/>
  <c r="AF10" i="22"/>
  <c r="AF9" i="22"/>
  <c r="AF8" i="22"/>
  <c r="AF7" i="22"/>
  <c r="AF6" i="22"/>
  <c r="AF5" i="22"/>
  <c r="AE10" i="22"/>
  <c r="AE9" i="22"/>
  <c r="AE8" i="22"/>
  <c r="AE7" i="22"/>
  <c r="AE6" i="22"/>
  <c r="AE5" i="22"/>
  <c r="T9" i="22"/>
  <c r="T8" i="22"/>
  <c r="T7" i="22"/>
  <c r="T6" i="22"/>
  <c r="T5" i="22"/>
  <c r="R19" i="22"/>
  <c r="R18" i="22"/>
  <c r="R17" i="22"/>
  <c r="R11" i="22"/>
  <c r="AE9" i="21"/>
  <c r="AE8" i="21"/>
  <c r="AE7" i="21"/>
  <c r="AE6" i="21"/>
  <c r="AE5" i="21"/>
  <c r="AE9" i="20"/>
  <c r="AE8" i="20"/>
  <c r="AE7" i="20"/>
  <c r="AE6" i="20"/>
  <c r="AE5" i="20"/>
  <c r="AE9" i="14"/>
  <c r="AE8" i="14"/>
  <c r="AE7" i="14"/>
  <c r="AE6" i="14"/>
  <c r="AE5" i="14"/>
  <c r="AD17" i="25"/>
  <c r="AD15" i="25"/>
  <c r="AD12" i="25"/>
  <c r="AD11" i="25"/>
  <c r="AD9" i="25"/>
  <c r="AD8" i="25"/>
  <c r="AD7" i="25"/>
  <c r="AD6" i="25"/>
  <c r="AD5" i="25"/>
  <c r="AF9" i="20"/>
  <c r="AF8" i="20"/>
  <c r="AF7" i="20"/>
  <c r="AF6" i="20"/>
  <c r="AF9" i="21"/>
  <c r="AF8" i="21"/>
  <c r="AF7" i="21"/>
  <c r="AF6" i="21"/>
  <c r="AF9" i="14"/>
  <c r="AF8" i="14"/>
  <c r="AF7" i="14"/>
  <c r="AF6" i="14"/>
  <c r="AF5" i="20"/>
  <c r="AF5" i="21"/>
  <c r="AF5" i="14"/>
  <c r="R18" i="20"/>
  <c r="R17" i="20"/>
  <c r="R16" i="20"/>
  <c r="R18" i="21"/>
  <c r="R17" i="21"/>
  <c r="R16" i="21"/>
  <c r="R18" i="14"/>
  <c r="R17" i="14"/>
  <c r="R16" i="14"/>
  <c r="T9" i="20"/>
  <c r="T8" i="20"/>
  <c r="T7" i="20"/>
  <c r="T6" i="20"/>
  <c r="T9" i="21"/>
  <c r="T8" i="21"/>
  <c r="T7" i="21"/>
  <c r="T6" i="21"/>
  <c r="T9" i="14"/>
  <c r="T8" i="14"/>
  <c r="T7" i="14"/>
  <c r="T6" i="14"/>
  <c r="T5" i="20"/>
  <c r="T5" i="21"/>
  <c r="T5" i="14"/>
  <c r="R10" i="20"/>
  <c r="R10" i="21"/>
  <c r="R10" i="14"/>
  <c r="T28" i="13"/>
  <c r="T27" i="13"/>
  <c r="T26" i="13"/>
  <c r="T18" i="13"/>
  <c r="T16" i="13"/>
  <c r="T17" i="13"/>
  <c r="T15" i="13"/>
  <c r="T9" i="13"/>
  <c r="T8" i="13"/>
  <c r="T7" i="13"/>
  <c r="T6" i="13"/>
  <c r="T25" i="13"/>
  <c r="T24" i="13"/>
  <c r="R19" i="13"/>
  <c r="R10" i="13"/>
  <c r="AE17" i="25"/>
  <c r="AE15" i="25"/>
  <c r="AE8" i="25"/>
  <c r="AE12" i="25"/>
  <c r="AE11" i="25"/>
  <c r="AE9" i="25"/>
  <c r="AE6" i="25"/>
  <c r="AE5" i="25"/>
  <c r="R26" i="25"/>
  <c r="R25" i="25"/>
  <c r="R24" i="25"/>
  <c r="R13" i="25"/>
  <c r="R10" i="25"/>
  <c r="I34" i="24"/>
  <c r="I25" i="24"/>
  <c r="I31" i="24" s="1"/>
  <c r="I12" i="24"/>
  <c r="I6" i="24"/>
  <c r="I17" i="24" s="1"/>
  <c r="J36" i="19"/>
  <c r="J26" i="23"/>
  <c r="J25" i="23"/>
  <c r="J20" i="23"/>
  <c r="J9" i="23"/>
  <c r="S19" i="22"/>
  <c r="S18" i="22"/>
  <c r="S17" i="22"/>
  <c r="S11" i="22"/>
  <c r="S18" i="21"/>
  <c r="S17" i="21"/>
  <c r="S16" i="21"/>
  <c r="S10" i="21"/>
  <c r="S18" i="20"/>
  <c r="S17" i="20"/>
  <c r="S16" i="20"/>
  <c r="S10" i="20"/>
  <c r="S18" i="14"/>
  <c r="S17" i="14"/>
  <c r="S16" i="14"/>
  <c r="S10" i="14"/>
  <c r="P26" i="25"/>
  <c r="P25" i="25"/>
  <c r="P24" i="25"/>
  <c r="P10" i="21"/>
  <c r="P10" i="20"/>
  <c r="O10" i="13"/>
  <c r="O19" i="13"/>
  <c r="AD10" i="22"/>
  <c r="AC10" i="22"/>
  <c r="AC9" i="22"/>
  <c r="AC8" i="22"/>
  <c r="AC7" i="22"/>
  <c r="AC6" i="22"/>
  <c r="AC5" i="22"/>
  <c r="P17" i="22"/>
  <c r="P18" i="22"/>
  <c r="P19" i="22"/>
  <c r="AD9" i="22"/>
  <c r="AD8" i="22"/>
  <c r="AD7" i="22"/>
  <c r="AD6" i="22"/>
  <c r="AD5" i="22"/>
  <c r="P11" i="22"/>
  <c r="AC9" i="21"/>
  <c r="AC8" i="21"/>
  <c r="AC7" i="21"/>
  <c r="AC6" i="21"/>
  <c r="AC5" i="21"/>
  <c r="P16" i="21"/>
  <c r="P17" i="21"/>
  <c r="P18" i="21"/>
  <c r="AD9" i="21"/>
  <c r="AD8" i="21"/>
  <c r="AD7" i="21"/>
  <c r="AD6" i="21"/>
  <c r="AD5" i="21"/>
  <c r="P16" i="20"/>
  <c r="P17" i="20"/>
  <c r="P18" i="20"/>
  <c r="AC6" i="20"/>
  <c r="AC5" i="20"/>
  <c r="AC9" i="20"/>
  <c r="AC8" i="20"/>
  <c r="AC7" i="20"/>
  <c r="AD9" i="20"/>
  <c r="AD8" i="20"/>
  <c r="AD7" i="20"/>
  <c r="AD6" i="20"/>
  <c r="AD5" i="20"/>
  <c r="AD9" i="14"/>
  <c r="AC5" i="14"/>
  <c r="AC9" i="14"/>
  <c r="AC8" i="14"/>
  <c r="AC7" i="14"/>
  <c r="AC6" i="14"/>
  <c r="P18" i="14"/>
  <c r="P17" i="14"/>
  <c r="P16" i="14"/>
  <c r="AD8" i="14"/>
  <c r="AD7" i="14"/>
  <c r="AD6" i="14"/>
  <c r="AD5" i="14"/>
  <c r="AC16" i="20" l="1"/>
  <c r="J34" i="24"/>
  <c r="AF17" i="21"/>
  <c r="AC10" i="20"/>
  <c r="AF18" i="22"/>
  <c r="I5" i="19"/>
  <c r="I22" i="19" s="1"/>
  <c r="I24" i="19" s="1"/>
  <c r="S25" i="25"/>
  <c r="AF17" i="22"/>
  <c r="R14" i="25"/>
  <c r="S24" i="25"/>
  <c r="AC17" i="14"/>
  <c r="I35" i="24"/>
  <c r="AF11" i="22"/>
  <c r="AF19" i="22"/>
  <c r="AF18" i="21"/>
  <c r="AF10" i="20"/>
  <c r="AF16" i="20"/>
  <c r="AF18" i="20"/>
  <c r="AF16" i="21"/>
  <c r="AF10" i="21"/>
  <c r="AF16" i="14"/>
  <c r="AF17" i="14"/>
  <c r="AF18" i="14"/>
  <c r="AF10" i="14"/>
  <c r="J25" i="24"/>
  <c r="J31" i="24" s="1"/>
  <c r="AE7" i="25"/>
  <c r="AE24" i="25" s="1"/>
  <c r="AD19" i="22"/>
  <c r="AF17" i="20"/>
  <c r="AC17" i="21"/>
  <c r="AC16" i="14"/>
  <c r="AC16" i="21"/>
  <c r="AE10" i="14"/>
  <c r="S19" i="13"/>
  <c r="T19" i="13" s="1"/>
  <c r="S10" i="13"/>
  <c r="T10" i="13" s="1"/>
  <c r="AE25" i="25"/>
  <c r="AD26" i="25"/>
  <c r="S26" i="25"/>
  <c r="S13" i="25"/>
  <c r="AE13" i="25" s="1"/>
  <c r="S10" i="25"/>
  <c r="J12" i="24"/>
  <c r="J6" i="24"/>
  <c r="AE18" i="22"/>
  <c r="AE19" i="22"/>
  <c r="AE18" i="21"/>
  <c r="AE10" i="21"/>
  <c r="AE17" i="21"/>
  <c r="AE16" i="21"/>
  <c r="AE17" i="20"/>
  <c r="AE18" i="20"/>
  <c r="AE17" i="14"/>
  <c r="AE18" i="14"/>
  <c r="AD25" i="25"/>
  <c r="AE11" i="22"/>
  <c r="AC11" i="22"/>
  <c r="AE17" i="22"/>
  <c r="AC18" i="21"/>
  <c r="AC10" i="21"/>
  <c r="AE10" i="20"/>
  <c r="AE16" i="20"/>
  <c r="AC17" i="20"/>
  <c r="AE16" i="14"/>
  <c r="AC10" i="14"/>
  <c r="AC18" i="14"/>
  <c r="AD10" i="20"/>
  <c r="AC17" i="22"/>
  <c r="AC18" i="22"/>
  <c r="AC18" i="20"/>
  <c r="AD10" i="21"/>
  <c r="Q16" i="21"/>
  <c r="AD11" i="22"/>
  <c r="AC19" i="22"/>
  <c r="AD10" i="14"/>
  <c r="AB5" i="25"/>
  <c r="AB17" i="25"/>
  <c r="AB15" i="25"/>
  <c r="AB12" i="25"/>
  <c r="AB11" i="25"/>
  <c r="AB9" i="25"/>
  <c r="AB8" i="25"/>
  <c r="AB7" i="25"/>
  <c r="AB6" i="25"/>
  <c r="AC17" i="25"/>
  <c r="AC15" i="25"/>
  <c r="AC12" i="25"/>
  <c r="AC11" i="25"/>
  <c r="AC9" i="25"/>
  <c r="AC8" i="25"/>
  <c r="AC6" i="25"/>
  <c r="AC5" i="25"/>
  <c r="J17" i="24" l="1"/>
  <c r="J35" i="24"/>
  <c r="AE26" i="25"/>
  <c r="AB25" i="25"/>
  <c r="R16" i="25"/>
  <c r="S14" i="25"/>
  <c r="AE10" i="25"/>
  <c r="AD24" i="25"/>
  <c r="AB24" i="25"/>
  <c r="AB26" i="25"/>
  <c r="AC25" i="25"/>
  <c r="AC7" i="25"/>
  <c r="Q24" i="25"/>
  <c r="R18" i="25" l="1"/>
  <c r="S16" i="25"/>
  <c r="AE14" i="25"/>
  <c r="AB10" i="22"/>
  <c r="AB9" i="22"/>
  <c r="AB8" i="22"/>
  <c r="AB7" i="22"/>
  <c r="AB6" i="22"/>
  <c r="AB5" i="22"/>
  <c r="O19" i="22"/>
  <c r="T19" i="22" s="1"/>
  <c r="O18" i="22"/>
  <c r="T18" i="22" s="1"/>
  <c r="O17" i="22"/>
  <c r="T17" i="22" s="1"/>
  <c r="O11" i="22"/>
  <c r="T11" i="22" s="1"/>
  <c r="AB9" i="14"/>
  <c r="AB8" i="14"/>
  <c r="AB7" i="14"/>
  <c r="AB6" i="14"/>
  <c r="AB5" i="14"/>
  <c r="O18" i="21"/>
  <c r="T18" i="21" s="1"/>
  <c r="O17" i="21"/>
  <c r="T17" i="21" s="1"/>
  <c r="O16" i="21"/>
  <c r="T16" i="21" s="1"/>
  <c r="O10" i="21"/>
  <c r="T10" i="21" s="1"/>
  <c r="O18" i="20"/>
  <c r="T18" i="20" s="1"/>
  <c r="O17" i="20"/>
  <c r="T17" i="20" s="1"/>
  <c r="O16" i="20"/>
  <c r="T16" i="20" s="1"/>
  <c r="O10" i="20"/>
  <c r="T10" i="20" s="1"/>
  <c r="AB9" i="21"/>
  <c r="AB8" i="21"/>
  <c r="AB7" i="21"/>
  <c r="AB6" i="21"/>
  <c r="AB5" i="21"/>
  <c r="AB9" i="20"/>
  <c r="AB8" i="20"/>
  <c r="AB7" i="20"/>
  <c r="AB6" i="20"/>
  <c r="AB5" i="20"/>
  <c r="O18" i="14"/>
  <c r="T18" i="14" s="1"/>
  <c r="O17" i="14"/>
  <c r="T17" i="14" s="1"/>
  <c r="O16" i="14"/>
  <c r="T16" i="14" s="1"/>
  <c r="O10" i="14"/>
  <c r="T10" i="14" s="1"/>
  <c r="AA17" i="25"/>
  <c r="AA15" i="25"/>
  <c r="AA12" i="25"/>
  <c r="AA11" i="25"/>
  <c r="AA9" i="25"/>
  <c r="AA8" i="25"/>
  <c r="AA7" i="25"/>
  <c r="AA6" i="25"/>
  <c r="AA5" i="25"/>
  <c r="O26" i="25"/>
  <c r="O25" i="25"/>
  <c r="O24" i="25"/>
  <c r="O13" i="25"/>
  <c r="AB13" i="25" s="1"/>
  <c r="O10" i="25"/>
  <c r="AB10" i="25" s="1"/>
  <c r="AB18" i="14" l="1"/>
  <c r="AB10" i="14"/>
  <c r="AB16" i="14"/>
  <c r="AB17" i="14"/>
  <c r="S18" i="25"/>
  <c r="AE18" i="25" s="1"/>
  <c r="AE16" i="25"/>
  <c r="AB10" i="21"/>
  <c r="AA26" i="25"/>
  <c r="AA25" i="25"/>
  <c r="AA24" i="25"/>
  <c r="AA10" i="25"/>
  <c r="AA13" i="25"/>
  <c r="O14" i="25"/>
  <c r="AB16" i="20"/>
  <c r="AB19" i="22"/>
  <c r="AB18" i="22"/>
  <c r="AB11" i="22"/>
  <c r="AB17" i="22"/>
  <c r="AB18" i="21"/>
  <c r="AB17" i="21"/>
  <c r="AB17" i="20"/>
  <c r="AB10" i="20"/>
  <c r="AB18" i="20"/>
  <c r="AB16" i="21"/>
  <c r="O16" i="25" l="1"/>
  <c r="AB14" i="25"/>
  <c r="AA14" i="25"/>
  <c r="J13" i="19"/>
  <c r="J6" i="19"/>
  <c r="K13" i="25"/>
  <c r="W13" i="25" s="1"/>
  <c r="K10" i="25"/>
  <c r="Q13" i="25"/>
  <c r="AD13" i="25" s="1"/>
  <c r="Q10" i="25"/>
  <c r="AD10" i="25" s="1"/>
  <c r="H53" i="19"/>
  <c r="H36" i="19"/>
  <c r="H13" i="19"/>
  <c r="H6" i="19"/>
  <c r="Q19" i="22"/>
  <c r="Q18" i="22"/>
  <c r="Q17" i="22"/>
  <c r="Q11" i="22"/>
  <c r="Q10" i="21"/>
  <c r="Q18" i="21"/>
  <c r="Q17" i="21"/>
  <c r="Q10" i="20"/>
  <c r="Q18" i="20"/>
  <c r="Q17" i="20"/>
  <c r="Q16" i="20"/>
  <c r="Q10" i="14"/>
  <c r="Q18" i="14"/>
  <c r="Q17" i="14"/>
  <c r="Q16" i="14"/>
  <c r="Q19" i="13"/>
  <c r="Q10" i="13"/>
  <c r="Q26" i="25"/>
  <c r="Q25" i="25"/>
  <c r="Y10" i="22"/>
  <c r="X10" i="22"/>
  <c r="Y9" i="22"/>
  <c r="X9" i="22"/>
  <c r="Y8" i="22"/>
  <c r="X8" i="22"/>
  <c r="Y7" i="22"/>
  <c r="X7" i="22"/>
  <c r="Y6" i="22"/>
  <c r="X6" i="22"/>
  <c r="Y5" i="22"/>
  <c r="X5" i="22"/>
  <c r="K19" i="22"/>
  <c r="K18" i="22"/>
  <c r="K17" i="22"/>
  <c r="K11" i="22"/>
  <c r="K18" i="21"/>
  <c r="K17" i="21"/>
  <c r="K16" i="21"/>
  <c r="K10" i="21"/>
  <c r="Y9" i="21"/>
  <c r="X9" i="21"/>
  <c r="Y8" i="21"/>
  <c r="X8" i="21"/>
  <c r="Y7" i="21"/>
  <c r="X7" i="21"/>
  <c r="Y6" i="21"/>
  <c r="X6" i="21"/>
  <c r="Y5" i="21"/>
  <c r="X5" i="21"/>
  <c r="Y9" i="20"/>
  <c r="X9" i="20"/>
  <c r="Y8" i="20"/>
  <c r="X8" i="20"/>
  <c r="Y7" i="20"/>
  <c r="X7" i="20"/>
  <c r="Y6" i="20"/>
  <c r="X6" i="20"/>
  <c r="Y5" i="20"/>
  <c r="X5" i="20"/>
  <c r="K18" i="20"/>
  <c r="K17" i="20"/>
  <c r="K16" i="20"/>
  <c r="K10" i="20"/>
  <c r="Y9" i="14"/>
  <c r="X9" i="14"/>
  <c r="Y8" i="14"/>
  <c r="X8" i="14"/>
  <c r="Y7" i="14"/>
  <c r="X7" i="14"/>
  <c r="Y6" i="14"/>
  <c r="X6" i="14"/>
  <c r="Y5" i="14"/>
  <c r="X5" i="14"/>
  <c r="K18" i="14"/>
  <c r="K17" i="14"/>
  <c r="K16" i="14"/>
  <c r="K10" i="14"/>
  <c r="L19" i="13"/>
  <c r="K19" i="13"/>
  <c r="K10" i="13"/>
  <c r="X17" i="25"/>
  <c r="W17" i="25"/>
  <c r="X15" i="25"/>
  <c r="W15" i="25"/>
  <c r="X12" i="25"/>
  <c r="W12" i="25"/>
  <c r="X11" i="25"/>
  <c r="W11" i="25"/>
  <c r="X9" i="25"/>
  <c r="W9" i="25"/>
  <c r="X8" i="25"/>
  <c r="W8" i="25"/>
  <c r="X7" i="25"/>
  <c r="W7" i="25"/>
  <c r="X6" i="25"/>
  <c r="W6" i="25"/>
  <c r="X5" i="25"/>
  <c r="W5" i="25"/>
  <c r="K26" i="25"/>
  <c r="K25" i="25"/>
  <c r="K24" i="25"/>
  <c r="H9" i="23"/>
  <c r="N11" i="22"/>
  <c r="N10" i="21"/>
  <c r="N10" i="20"/>
  <c r="N10" i="14"/>
  <c r="N19" i="13"/>
  <c r="N10" i="13"/>
  <c r="N13" i="25"/>
  <c r="N10" i="25"/>
  <c r="H34" i="24"/>
  <c r="H25" i="24"/>
  <c r="H31" i="24" s="1"/>
  <c r="H12" i="24"/>
  <c r="H6" i="24"/>
  <c r="AA10" i="22"/>
  <c r="W10" i="22"/>
  <c r="N19" i="22"/>
  <c r="AA9" i="21"/>
  <c r="AA8" i="21"/>
  <c r="AA7" i="21"/>
  <c r="AA6" i="21"/>
  <c r="AA5" i="21"/>
  <c r="AA9" i="22"/>
  <c r="AA8" i="22"/>
  <c r="AA7" i="22"/>
  <c r="AA6" i="22"/>
  <c r="AA5" i="22"/>
  <c r="AA9" i="20"/>
  <c r="AA8" i="20"/>
  <c r="AA7" i="20"/>
  <c r="AA6" i="20"/>
  <c r="AA5" i="20"/>
  <c r="W9" i="21"/>
  <c r="W8" i="21"/>
  <c r="W7" i="21"/>
  <c r="W6" i="21"/>
  <c r="W9" i="22"/>
  <c r="W8" i="22"/>
  <c r="W7" i="22"/>
  <c r="W6" i="22"/>
  <c r="W9" i="20"/>
  <c r="W8" i="20"/>
  <c r="W7" i="20"/>
  <c r="W6" i="20"/>
  <c r="W5" i="21"/>
  <c r="W5" i="22"/>
  <c r="W5" i="20"/>
  <c r="N18" i="21"/>
  <c r="N17" i="21"/>
  <c r="N16" i="21"/>
  <c r="N18" i="22"/>
  <c r="N17" i="22"/>
  <c r="N18" i="20"/>
  <c r="N17" i="20"/>
  <c r="N16" i="20"/>
  <c r="AA9" i="14"/>
  <c r="AA8" i="14"/>
  <c r="AA7" i="14"/>
  <c r="AA6" i="14"/>
  <c r="W9" i="14"/>
  <c r="W8" i="14"/>
  <c r="W7" i="14"/>
  <c r="W6" i="14"/>
  <c r="AA5" i="14"/>
  <c r="W5" i="14"/>
  <c r="N18" i="14"/>
  <c r="N17" i="14"/>
  <c r="N16" i="14"/>
  <c r="Z17" i="25"/>
  <c r="Z15" i="25"/>
  <c r="Z12" i="25"/>
  <c r="Z11" i="25"/>
  <c r="Z9" i="25"/>
  <c r="Z8" i="25"/>
  <c r="Z7" i="25"/>
  <c r="Z6" i="25"/>
  <c r="Z5" i="25"/>
  <c r="V17" i="25"/>
  <c r="V15" i="25"/>
  <c r="V12" i="25"/>
  <c r="V11" i="25"/>
  <c r="V9" i="25"/>
  <c r="V8" i="25"/>
  <c r="V7" i="25"/>
  <c r="V6" i="25"/>
  <c r="V5" i="25"/>
  <c r="N26" i="25"/>
  <c r="N25" i="25"/>
  <c r="N24" i="25"/>
  <c r="H17" i="24" l="1"/>
  <c r="AA10" i="14"/>
  <c r="H5" i="19"/>
  <c r="H22" i="19" s="1"/>
  <c r="H24" i="19" s="1"/>
  <c r="X24" i="25"/>
  <c r="X25" i="25"/>
  <c r="AC13" i="25"/>
  <c r="O18" i="25"/>
  <c r="AB16" i="25"/>
  <c r="AA16" i="25"/>
  <c r="AC10" i="25"/>
  <c r="Y10" i="21"/>
  <c r="J5" i="19"/>
  <c r="J22" i="19" s="1"/>
  <c r="J24" i="19" s="1"/>
  <c r="AD18" i="22"/>
  <c r="AD17" i="22"/>
  <c r="AD16" i="14"/>
  <c r="AD17" i="20"/>
  <c r="AD16" i="21"/>
  <c r="AD18" i="21"/>
  <c r="AD18" i="20"/>
  <c r="X18" i="14"/>
  <c r="X16" i="14"/>
  <c r="Q14" i="25"/>
  <c r="AD14" i="25" s="1"/>
  <c r="AC26" i="25"/>
  <c r="Y11" i="22"/>
  <c r="AD16" i="20"/>
  <c r="AD18" i="14"/>
  <c r="Y16" i="14"/>
  <c r="K14" i="25"/>
  <c r="K16" i="25" s="1"/>
  <c r="K18" i="25" s="1"/>
  <c r="W18" i="25" s="1"/>
  <c r="AC24" i="25"/>
  <c r="AD17" i="21"/>
  <c r="AD17" i="14"/>
  <c r="Y18" i="14"/>
  <c r="W10" i="14"/>
  <c r="Y10" i="20"/>
  <c r="X10" i="20"/>
  <c r="X11" i="22"/>
  <c r="Y18" i="22"/>
  <c r="W10" i="25"/>
  <c r="Z25" i="25"/>
  <c r="H35" i="24"/>
  <c r="X18" i="22"/>
  <c r="X19" i="22"/>
  <c r="Y19" i="22"/>
  <c r="Y17" i="21"/>
  <c r="X16" i="20"/>
  <c r="Y18" i="20"/>
  <c r="X17" i="20"/>
  <c r="Y17" i="20"/>
  <c r="X17" i="14"/>
  <c r="Y17" i="14"/>
  <c r="X26" i="25"/>
  <c r="W24" i="25"/>
  <c r="W25" i="25"/>
  <c r="W26" i="25"/>
  <c r="X17" i="22"/>
  <c r="Y17" i="22"/>
  <c r="X10" i="21"/>
  <c r="X18" i="21"/>
  <c r="Y18" i="21"/>
  <c r="X17" i="21"/>
  <c r="X16" i="21"/>
  <c r="Y16" i="21"/>
  <c r="Y16" i="20"/>
  <c r="X18" i="20"/>
  <c r="X10" i="14"/>
  <c r="Y10" i="14"/>
  <c r="AA17" i="22"/>
  <c r="AA10" i="21"/>
  <c r="W16" i="21"/>
  <c r="W10" i="20"/>
  <c r="AA18" i="21"/>
  <c r="AA17" i="21"/>
  <c r="W10" i="21"/>
  <c r="AA10" i="20"/>
  <c r="W16" i="20"/>
  <c r="W18" i="14"/>
  <c r="W17" i="14"/>
  <c r="V24" i="25"/>
  <c r="N14" i="25"/>
  <c r="N16" i="25" s="1"/>
  <c r="N18" i="25" s="1"/>
  <c r="AA18" i="22"/>
  <c r="AA11" i="22"/>
  <c r="AA16" i="21"/>
  <c r="AA18" i="14"/>
  <c r="W18" i="20"/>
  <c r="AA17" i="20"/>
  <c r="AA18" i="20"/>
  <c r="W18" i="21"/>
  <c r="AA19" i="22"/>
  <c r="W17" i="22"/>
  <c r="W11" i="22"/>
  <c r="W19" i="22"/>
  <c r="AA16" i="20"/>
  <c r="W17" i="21"/>
  <c r="W17" i="20"/>
  <c r="W18" i="22"/>
  <c r="AA17" i="14"/>
  <c r="AA16" i="14"/>
  <c r="W16" i="14"/>
  <c r="Z26" i="25"/>
  <c r="Z24" i="25"/>
  <c r="V26" i="25"/>
  <c r="V25" i="25"/>
  <c r="Z10" i="22"/>
  <c r="V10" i="22"/>
  <c r="Z9" i="22"/>
  <c r="V9" i="22"/>
  <c r="Z8" i="22"/>
  <c r="V8" i="22"/>
  <c r="Z7" i="22"/>
  <c r="V7" i="22"/>
  <c r="Z6" i="22"/>
  <c r="V6" i="22"/>
  <c r="Z5" i="22"/>
  <c r="V5" i="22"/>
  <c r="Z9" i="21"/>
  <c r="V9" i="21"/>
  <c r="Z8" i="21"/>
  <c r="V8" i="21"/>
  <c r="Z7" i="21"/>
  <c r="V7" i="21"/>
  <c r="Z6" i="21"/>
  <c r="V6" i="21"/>
  <c r="Z5" i="21"/>
  <c r="V5" i="21"/>
  <c r="Z9" i="20"/>
  <c r="V9" i="20"/>
  <c r="Z8" i="20"/>
  <c r="V8" i="20"/>
  <c r="Z7" i="20"/>
  <c r="V7" i="20"/>
  <c r="Z6" i="20"/>
  <c r="V6" i="20"/>
  <c r="Z5" i="20"/>
  <c r="V5" i="20"/>
  <c r="AC14" i="25" l="1"/>
  <c r="AB18" i="25"/>
  <c r="AA18" i="25"/>
  <c r="Q16" i="25"/>
  <c r="AD16" i="25" s="1"/>
  <c r="W16" i="25"/>
  <c r="W14" i="25"/>
  <c r="V10" i="20"/>
  <c r="V11" i="22"/>
  <c r="Z11" i="22"/>
  <c r="Z10" i="21"/>
  <c r="V10" i="21"/>
  <c r="Z10" i="20"/>
  <c r="Z9" i="14"/>
  <c r="V9" i="14"/>
  <c r="Z8" i="14"/>
  <c r="V8" i="14"/>
  <c r="Z7" i="14"/>
  <c r="V7" i="14"/>
  <c r="Z6" i="14"/>
  <c r="V6" i="14"/>
  <c r="Z5" i="14"/>
  <c r="V5" i="14"/>
  <c r="Z19" i="22"/>
  <c r="V19" i="22"/>
  <c r="Z18" i="22"/>
  <c r="V18" i="22"/>
  <c r="Z17" i="22"/>
  <c r="V17" i="22"/>
  <c r="Z18" i="21"/>
  <c r="V18" i="21"/>
  <c r="Z17" i="21"/>
  <c r="V17" i="21"/>
  <c r="Z16" i="21"/>
  <c r="V16" i="21"/>
  <c r="Z18" i="20"/>
  <c r="V18" i="20"/>
  <c r="Z17" i="20"/>
  <c r="V17" i="20"/>
  <c r="Z16" i="20"/>
  <c r="V16" i="20"/>
  <c r="AC16" i="25" l="1"/>
  <c r="Q18" i="25"/>
  <c r="AD18" i="25" s="1"/>
  <c r="Z16" i="14"/>
  <c r="V16" i="14"/>
  <c r="V18" i="14"/>
  <c r="Z18" i="14"/>
  <c r="V10" i="14"/>
  <c r="Z10" i="14"/>
  <c r="V17" i="14"/>
  <c r="Z17" i="14"/>
  <c r="L11" i="22"/>
  <c r="H11" i="22"/>
  <c r="L19" i="22"/>
  <c r="H19" i="22"/>
  <c r="F18" i="22"/>
  <c r="L18" i="22"/>
  <c r="H18" i="22"/>
  <c r="L17" i="22"/>
  <c r="H17" i="22"/>
  <c r="F10" i="21"/>
  <c r="L10" i="21"/>
  <c r="H10" i="21"/>
  <c r="L18" i="21"/>
  <c r="H18" i="21"/>
  <c r="L17" i="21"/>
  <c r="H17" i="21"/>
  <c r="L16" i="21"/>
  <c r="H16" i="21"/>
  <c r="F18" i="20"/>
  <c r="F17" i="20"/>
  <c r="F16" i="20"/>
  <c r="F10" i="20"/>
  <c r="L18" i="20"/>
  <c r="H18" i="20"/>
  <c r="L17" i="20"/>
  <c r="H17" i="20"/>
  <c r="L16" i="20"/>
  <c r="H16" i="20"/>
  <c r="L10" i="20"/>
  <c r="H10" i="20"/>
  <c r="F17" i="14"/>
  <c r="L18" i="14"/>
  <c r="H18" i="14"/>
  <c r="L17" i="14"/>
  <c r="H17" i="14"/>
  <c r="L16" i="14"/>
  <c r="H16" i="14"/>
  <c r="L10" i="14"/>
  <c r="H10" i="14"/>
  <c r="F19" i="13"/>
  <c r="H19" i="13"/>
  <c r="L10" i="13"/>
  <c r="H10" i="13"/>
  <c r="Y17" i="25"/>
  <c r="Y15" i="25"/>
  <c r="Y12" i="25"/>
  <c r="Y11" i="25"/>
  <c r="Y9" i="25"/>
  <c r="Y8" i="25"/>
  <c r="Y7" i="25"/>
  <c r="Y6" i="25"/>
  <c r="U17" i="25"/>
  <c r="U15" i="25"/>
  <c r="U12" i="25"/>
  <c r="U11" i="25"/>
  <c r="U9" i="25"/>
  <c r="U8" i="25"/>
  <c r="U7" i="25"/>
  <c r="U6" i="25"/>
  <c r="U5" i="25"/>
  <c r="Y5" i="25"/>
  <c r="L13" i="25"/>
  <c r="X13" i="25" s="1"/>
  <c r="L10" i="25"/>
  <c r="X10" i="25" s="1"/>
  <c r="H13" i="25"/>
  <c r="H10" i="25"/>
  <c r="F13" i="25"/>
  <c r="F10" i="25"/>
  <c r="L26" i="25"/>
  <c r="L25" i="25"/>
  <c r="L24" i="25"/>
  <c r="H26" i="25"/>
  <c r="H25" i="25"/>
  <c r="H24" i="25"/>
  <c r="F26" i="25"/>
  <c r="F25" i="25"/>
  <c r="F24" i="25"/>
  <c r="AC18" i="25" l="1"/>
  <c r="H14" i="25"/>
  <c r="H16" i="25" s="1"/>
  <c r="H18" i="25" s="1"/>
  <c r="L14" i="25"/>
  <c r="Y24" i="25"/>
  <c r="U26" i="25"/>
  <c r="U25" i="25"/>
  <c r="F11" i="22"/>
  <c r="F17" i="22"/>
  <c r="F19" i="22"/>
  <c r="F17" i="21"/>
  <c r="F16" i="21"/>
  <c r="F18" i="21"/>
  <c r="F18" i="14"/>
  <c r="F16" i="14"/>
  <c r="F10" i="14"/>
  <c r="F10" i="13"/>
  <c r="Y26" i="25"/>
  <c r="U24" i="25"/>
  <c r="Y25" i="25"/>
  <c r="F14" i="25"/>
  <c r="F16" i="25" s="1"/>
  <c r="F18" i="25" s="1"/>
  <c r="L16" i="25" l="1"/>
  <c r="X14" i="25"/>
  <c r="G6" i="24"/>
  <c r="L18" i="25" l="1"/>
  <c r="X18" i="25" s="1"/>
  <c r="X16" i="25"/>
  <c r="H25" i="23"/>
  <c r="H26" i="23"/>
  <c r="H20" i="23" l="1"/>
  <c r="I26" i="25" l="1"/>
  <c r="J26" i="25"/>
  <c r="G26" i="25"/>
  <c r="I25" i="25"/>
  <c r="J25" i="25"/>
  <c r="G25" i="25"/>
  <c r="I24" i="25"/>
  <c r="J24" i="25"/>
  <c r="G24" i="25"/>
  <c r="E26" i="25"/>
  <c r="E25" i="25"/>
  <c r="E24" i="25"/>
  <c r="F26" i="23" l="1"/>
  <c r="E26" i="23"/>
  <c r="F25" i="23"/>
  <c r="E25" i="23"/>
  <c r="G22" i="23"/>
  <c r="G25" i="23" s="1"/>
  <c r="G20" i="23"/>
  <c r="F20" i="23"/>
  <c r="E20" i="23"/>
  <c r="G26" i="23" l="1"/>
  <c r="F34" i="24" l="1"/>
  <c r="E34" i="24"/>
  <c r="G34" i="24"/>
  <c r="I13" i="25"/>
  <c r="U13" i="25" s="1"/>
  <c r="J13" i="25"/>
  <c r="G13" i="25"/>
  <c r="G14" i="25" s="1"/>
  <c r="G16" i="25" s="1"/>
  <c r="G18" i="25" s="1"/>
  <c r="E13" i="25"/>
  <c r="I10" i="25"/>
  <c r="U10" i="25" s="1"/>
  <c r="J10" i="25"/>
  <c r="G10" i="25"/>
  <c r="E10" i="25"/>
  <c r="J14" i="25" l="1"/>
  <c r="V13" i="25"/>
  <c r="V10" i="25"/>
  <c r="I14" i="25"/>
  <c r="E14" i="25"/>
  <c r="E16" i="25" s="1"/>
  <c r="E18" i="25" s="1"/>
  <c r="J16" i="25" l="1"/>
  <c r="V14" i="25"/>
  <c r="I16" i="25"/>
  <c r="U14" i="25"/>
  <c r="G25" i="24"/>
  <c r="G31" i="24" s="1"/>
  <c r="F25" i="24"/>
  <c r="F31" i="24" s="1"/>
  <c r="E25" i="24"/>
  <c r="E31" i="24" s="1"/>
  <c r="G12" i="24"/>
  <c r="F12" i="24"/>
  <c r="E12" i="24"/>
  <c r="F6" i="24"/>
  <c r="E6" i="24"/>
  <c r="J18" i="25" l="1"/>
  <c r="V16" i="25"/>
  <c r="I18" i="25"/>
  <c r="U18" i="25" s="1"/>
  <c r="U16" i="25"/>
  <c r="E17" i="24"/>
  <c r="F17" i="24"/>
  <c r="G17" i="24"/>
  <c r="V18" i="25" l="1"/>
  <c r="G35" i="24"/>
  <c r="F35" i="24"/>
  <c r="E35" i="24"/>
  <c r="F36" i="19" l="1"/>
  <c r="J53" i="19"/>
  <c r="K52" i="19" s="1"/>
  <c r="G53" i="19"/>
  <c r="E53" i="19"/>
  <c r="F53" i="19"/>
  <c r="G36" i="19"/>
  <c r="K31" i="19"/>
  <c r="K50" i="19" l="1"/>
  <c r="K35" i="19"/>
  <c r="K49" i="19"/>
  <c r="K51" i="19"/>
  <c r="K42" i="19"/>
  <c r="K43" i="19"/>
  <c r="K44" i="19"/>
  <c r="K45" i="19"/>
  <c r="K30" i="19"/>
  <c r="K32" i="19"/>
  <c r="K33" i="19"/>
  <c r="K46" i="19"/>
  <c r="K47" i="19"/>
  <c r="K34" i="19"/>
  <c r="K48" i="19"/>
  <c r="E36" i="19"/>
  <c r="K53" i="19" l="1"/>
  <c r="K36" i="19"/>
  <c r="M19" i="22" l="1"/>
  <c r="I19" i="22"/>
  <c r="M18" i="22"/>
  <c r="I18" i="22"/>
  <c r="M17" i="22"/>
  <c r="I17" i="22"/>
  <c r="J19" i="22"/>
  <c r="G19" i="22"/>
  <c r="E19" i="22"/>
  <c r="J18" i="22"/>
  <c r="E18" i="22"/>
  <c r="F13" i="19" l="1"/>
  <c r="F6" i="19"/>
  <c r="E6" i="19"/>
  <c r="G18" i="22"/>
  <c r="J17" i="22"/>
  <c r="G17" i="22"/>
  <c r="E17" i="22"/>
  <c r="M11" i="22"/>
  <c r="I11" i="22"/>
  <c r="J11" i="22"/>
  <c r="G11" i="22"/>
  <c r="E11" i="22"/>
  <c r="M18" i="21"/>
  <c r="I18" i="21"/>
  <c r="J18" i="21"/>
  <c r="G18" i="21"/>
  <c r="E18" i="21"/>
  <c r="M17" i="21"/>
  <c r="I17" i="21"/>
  <c r="J17" i="21"/>
  <c r="G17" i="21"/>
  <c r="E17" i="21"/>
  <c r="M16" i="21"/>
  <c r="I16" i="21"/>
  <c r="J16" i="21"/>
  <c r="G16" i="21"/>
  <c r="E16" i="21"/>
  <c r="M10" i="21"/>
  <c r="I10" i="21"/>
  <c r="J10" i="21"/>
  <c r="G10" i="21"/>
  <c r="E10" i="21"/>
  <c r="M18" i="20"/>
  <c r="I18" i="20"/>
  <c r="J18" i="20"/>
  <c r="G18" i="20"/>
  <c r="E18" i="20"/>
  <c r="M17" i="20"/>
  <c r="I17" i="20"/>
  <c r="J17" i="20"/>
  <c r="G17" i="20"/>
  <c r="E17" i="20"/>
  <c r="M16" i="20"/>
  <c r="I16" i="20"/>
  <c r="J16" i="20"/>
  <c r="G16" i="20"/>
  <c r="E16" i="20"/>
  <c r="M10" i="20"/>
  <c r="I10" i="20"/>
  <c r="J10" i="20"/>
  <c r="G10" i="20"/>
  <c r="E10" i="20"/>
  <c r="M10" i="14"/>
  <c r="I10" i="14"/>
  <c r="J10" i="14"/>
  <c r="M18" i="14"/>
  <c r="I18" i="14"/>
  <c r="J18" i="14"/>
  <c r="M17" i="14"/>
  <c r="I17" i="14"/>
  <c r="J17" i="14"/>
  <c r="M16" i="14"/>
  <c r="I16" i="14"/>
  <c r="J16" i="14"/>
  <c r="G17" i="14"/>
  <c r="G18" i="14"/>
  <c r="G10" i="14"/>
  <c r="G19" i="13"/>
  <c r="J19" i="13"/>
  <c r="I10" i="13"/>
  <c r="J10" i="13"/>
  <c r="G10" i="13"/>
  <c r="I19" i="13" l="1"/>
  <c r="F5" i="19"/>
  <c r="E13" i="19"/>
  <c r="E5" i="19" s="1"/>
  <c r="G16" i="14"/>
  <c r="F22" i="19" l="1"/>
  <c r="F24" i="19" s="1"/>
  <c r="E22" i="19"/>
  <c r="E24" i="19" s="1"/>
  <c r="G6" i="19" l="1"/>
  <c r="G13" i="19"/>
  <c r="K16" i="19" l="1"/>
  <c r="G5" i="19"/>
  <c r="G22" i="19" s="1"/>
  <c r="K11" i="19" l="1"/>
  <c r="K5" i="19"/>
  <c r="K19" i="19"/>
  <c r="K8" i="19"/>
  <c r="K7" i="19"/>
  <c r="K15" i="19"/>
  <c r="K12" i="19"/>
  <c r="K18" i="19"/>
  <c r="K14" i="19"/>
  <c r="K10" i="19"/>
  <c r="K20" i="19"/>
  <c r="K9" i="19"/>
  <c r="K17" i="19"/>
  <c r="K6" i="19"/>
  <c r="K21" i="19"/>
  <c r="K13" i="19"/>
  <c r="G24" i="19"/>
  <c r="K22" i="19" l="1"/>
  <c r="E17" i="14"/>
  <c r="E18" i="14"/>
  <c r="M19" i="13"/>
  <c r="M10" i="13"/>
  <c r="E10" i="13"/>
  <c r="E10" i="14"/>
  <c r="E16" i="14"/>
  <c r="M10" i="25" l="1"/>
  <c r="M13" i="25"/>
  <c r="E19" i="13"/>
  <c r="Y13" i="25" l="1"/>
  <c r="Z13" i="25"/>
  <c r="Y10" i="25"/>
  <c r="Z10" i="25"/>
  <c r="M26" i="25"/>
  <c r="M24" i="25"/>
  <c r="M14" i="25"/>
  <c r="Z14" i="25" s="1"/>
  <c r="M25" i="25"/>
  <c r="M16" i="25" l="1"/>
  <c r="Z16" i="25" s="1"/>
  <c r="Y14" i="25"/>
  <c r="M18" i="25" l="1"/>
  <c r="Z18" i="25" s="1"/>
  <c r="Y16" i="25"/>
  <c r="Y18" i="25" l="1"/>
</calcChain>
</file>

<file path=xl/sharedStrings.xml><?xml version="1.0" encoding="utf-8"?>
<sst xmlns="http://schemas.openxmlformats.org/spreadsheetml/2006/main" count="622" uniqueCount="166">
  <si>
    <t>% var.</t>
  </si>
  <si>
    <t>TOTAL</t>
  </si>
  <si>
    <t>var. p.p.</t>
  </si>
  <si>
    <t>12M 2019</t>
  </si>
  <si>
    <t>12M 2020</t>
  </si>
  <si>
    <t>Portugal</t>
  </si>
  <si>
    <t>12M 2018</t>
  </si>
  <si>
    <t>-</t>
  </si>
  <si>
    <t>AAA</t>
  </si>
  <si>
    <t>AA</t>
  </si>
  <si>
    <t>A</t>
  </si>
  <si>
    <t>BBB</t>
  </si>
  <si>
    <t>Industrial</t>
  </si>
  <si>
    <t>9M 2021</t>
  </si>
  <si>
    <t>9M 2020</t>
  </si>
  <si>
    <t>6M 2021</t>
  </si>
  <si>
    <t>9M 2019</t>
  </si>
  <si>
    <t>6M 2020</t>
  </si>
  <si>
    <t>p.p var.</t>
  </si>
  <si>
    <t>12M 2021</t>
  </si>
  <si>
    <t>Motor</t>
  </si>
  <si>
    <t>3M 2021</t>
  </si>
  <si>
    <t>3M 2022</t>
  </si>
  <si>
    <t>6M 2022</t>
  </si>
  <si>
    <t>9M 2022</t>
  </si>
  <si>
    <t>12M 2022</t>
  </si>
  <si>
    <t>3M 2023</t>
  </si>
  <si>
    <t>NIIF 4</t>
  </si>
  <si>
    <t>NIIF 17&amp;9</t>
  </si>
  <si>
    <t>Balance</t>
  </si>
  <si>
    <t>Líneas de Negocio</t>
  </si>
  <si>
    <t>Hogar</t>
  </si>
  <si>
    <t>Salud</t>
  </si>
  <si>
    <t>Otros</t>
  </si>
  <si>
    <t>Cuenta de Resultados</t>
  </si>
  <si>
    <t>Inversiones</t>
  </si>
  <si>
    <t>Solvencia</t>
  </si>
  <si>
    <t>ÍNDICE</t>
  </si>
  <si>
    <t>ACTIVO</t>
  </si>
  <si>
    <t>EFECTIVO Y OTROS ACTIVOS LÍQUIDOS EQUIVALENTES</t>
  </si>
  <si>
    <t>ACTIVOS FINANCIEROS DISPONIBLES PARA LA VENTA</t>
  </si>
  <si>
    <t>Instrumentos de patrimonio</t>
  </si>
  <si>
    <t>Valores representativos de deuda</t>
  </si>
  <si>
    <t>PRÉSTAMOS Y PARTIDAS A COBRAR</t>
  </si>
  <si>
    <t>DERIVADOS DE COBERTURA</t>
  </si>
  <si>
    <t>PARTICIPACIÓN DEL REASEGURO EN LAS PROVISIONES TÉCNICAS</t>
  </si>
  <si>
    <t>INMOVILIZADO MATERIAL E INVERSIONES INMOBILIARIAS</t>
  </si>
  <si>
    <t>Inmovilizado material</t>
  </si>
  <si>
    <t>Inversiones inmobiliarias</t>
  </si>
  <si>
    <t>INMOVILIZADO INTANGIBLE</t>
  </si>
  <si>
    <t>OTROS ACTIVOS</t>
  </si>
  <si>
    <t>Miles de euros</t>
  </si>
  <si>
    <t>Miles de euros, ratios en %</t>
  </si>
  <si>
    <t>SOLVENCIA</t>
  </si>
  <si>
    <t>CARTERA DE INVERSIONES</t>
  </si>
  <si>
    <t>CUENTA DE RESULTADOS - NIIF 17&amp;9</t>
  </si>
  <si>
    <t>BALANCE - NIIF 17&amp;9</t>
  </si>
  <si>
    <t>TRIMESTRES ESTANCOS</t>
  </si>
  <si>
    <t>PRIMAS DEVENGADAS</t>
  </si>
  <si>
    <t>RESULTADO TÉCNICO</t>
  </si>
  <si>
    <t>RATIO COMBINADO</t>
  </si>
  <si>
    <t>PRIMAS IMPUTADAS, NETAS DE REASEGURO</t>
  </si>
  <si>
    <t>Siniestralidad del ejercicio, neta de reaseguro</t>
  </si>
  <si>
    <t>Gastos de explotación netos</t>
  </si>
  <si>
    <t>Otros gastos e ingresos técnicos</t>
  </si>
  <si>
    <t>Ratio de siniestralidad</t>
  </si>
  <si>
    <t>Ratio de gastos</t>
  </si>
  <si>
    <t>3T 2020</t>
  </si>
  <si>
    <t>4T 2020</t>
  </si>
  <si>
    <t>1T 2021</t>
  </si>
  <si>
    <t>2T 2021</t>
  </si>
  <si>
    <t>3T 2021</t>
  </si>
  <si>
    <t>4T 2021</t>
  </si>
  <si>
    <t>1T 2022</t>
  </si>
  <si>
    <t>2T 2022</t>
  </si>
  <si>
    <t>3T 2022</t>
  </si>
  <si>
    <t>4T 2022</t>
  </si>
  <si>
    <t>1T 2023</t>
  </si>
  <si>
    <t>PASIVO Y PATRIMONIO NETO</t>
  </si>
  <si>
    <t>DÉBITOS Y PARTIDAS A PAGAR</t>
  </si>
  <si>
    <t>PROVISIONES TÉCNICAS</t>
  </si>
  <si>
    <t>Provisión para primas no consumidas</t>
  </si>
  <si>
    <t>Provisión para riesgos en curso</t>
  </si>
  <si>
    <t>Provisión para prestaciones</t>
  </si>
  <si>
    <t>PROVISIONES NO TÉCNICAS</t>
  </si>
  <si>
    <t>OTROS PASIVOS</t>
  </si>
  <si>
    <t>TOTAL PASIVO</t>
  </si>
  <si>
    <t>Fondos propios</t>
  </si>
  <si>
    <t>Ajustes por cambios de valor</t>
  </si>
  <si>
    <t>TOTAL PATRIMONIO NETO</t>
  </si>
  <si>
    <r>
      <t xml:space="preserve">TOTAL </t>
    </r>
    <r>
      <rPr>
        <b/>
        <sz val="10"/>
        <color rgb="FFC00000"/>
        <rFont val="Futura Std Light"/>
        <family val="2"/>
      </rPr>
      <t>PASIVO Y PATRIMONIO NETO</t>
    </r>
  </si>
  <si>
    <r>
      <t xml:space="preserve">TOTAL </t>
    </r>
    <r>
      <rPr>
        <b/>
        <sz val="10"/>
        <color rgb="FFC00000"/>
        <rFont val="Futura Std Light"/>
        <family val="2"/>
      </rPr>
      <t>ACTIVO</t>
    </r>
  </si>
  <si>
    <t>Ingresos de las inversiones</t>
  </si>
  <si>
    <t>Gastos de las inversiones</t>
  </si>
  <si>
    <t>RESULTADO FINANCIERO</t>
  </si>
  <si>
    <t>RESULTADO TÉCNICO - FINANCIERO</t>
  </si>
  <si>
    <t>Resultado de otras actividades</t>
  </si>
  <si>
    <t>BENEFICIO ANTES DE IMPUESTOS (BAI)</t>
  </si>
  <si>
    <t>Impuesto sobre beneficios</t>
  </si>
  <si>
    <t>RESULTADO DEL EJERCICIO (BENEFICIO / (PÉRDIDA))</t>
  </si>
  <si>
    <t>Participación en beneficios</t>
  </si>
  <si>
    <t>RENTA FIJA</t>
  </si>
  <si>
    <t>Gobiernos</t>
  </si>
  <si>
    <t>España</t>
  </si>
  <si>
    <t>Italia</t>
  </si>
  <si>
    <t>Noruega</t>
  </si>
  <si>
    <t>Estados Unidos</t>
  </si>
  <si>
    <t>Resto</t>
  </si>
  <si>
    <t>Corporativos</t>
  </si>
  <si>
    <t>Resto de Europa</t>
  </si>
  <si>
    <t>Reino Unido</t>
  </si>
  <si>
    <t>Resto del mundo</t>
  </si>
  <si>
    <t>ACCIONES</t>
  </si>
  <si>
    <t>de las que SOCIMIs</t>
  </si>
  <si>
    <t>FONDOS DE INVERSIÓN</t>
  </si>
  <si>
    <t>INMUEBLES DE INVERSIÓN</t>
  </si>
  <si>
    <t>SUBTOTAL</t>
  </si>
  <si>
    <t>CAJA Y EQUIVALENTES</t>
  </si>
  <si>
    <t>Menor a BBB</t>
  </si>
  <si>
    <t>Sin Rating</t>
  </si>
  <si>
    <t>Inmobiliario</t>
  </si>
  <si>
    <t>Financieros</t>
  </si>
  <si>
    <t>Consumo - No cíclico</t>
  </si>
  <si>
    <t>Telecomunicaciones</t>
  </si>
  <si>
    <t>Energía</t>
  </si>
  <si>
    <t>Utilidades</t>
  </si>
  <si>
    <t>Tecnología</t>
  </si>
  <si>
    <t>Consumo - Cíclico</t>
  </si>
  <si>
    <t>Materiales básicos</t>
  </si>
  <si>
    <t>Riesgo de Suscripción</t>
  </si>
  <si>
    <t>Riesgo de Mercado</t>
  </si>
  <si>
    <t>Riesgo de Contraparte</t>
  </si>
  <si>
    <t>Riesgo de Suscripción del Seguro de Enfermedad</t>
  </si>
  <si>
    <t>Diversificación</t>
  </si>
  <si>
    <t>Capital de Solvencia Obligatorio Básico (CSOB)</t>
  </si>
  <si>
    <t>Riesgo Operacional</t>
  </si>
  <si>
    <t>Ajuste por impuestos diferidos</t>
  </si>
  <si>
    <t>Capital de Solvencia Obligatorio (CSO)</t>
  </si>
  <si>
    <t>Capital Mínimo Obligatorio (CMO)</t>
  </si>
  <si>
    <t>Fondos propios admisibles</t>
  </si>
  <si>
    <t>de los cuales Nivel 1 no restringido</t>
  </si>
  <si>
    <t>Ratio de Cobertura (CMO)</t>
  </si>
  <si>
    <t>Ratio de Solvencia II (CSO)</t>
  </si>
  <si>
    <t>BALANCE - NIIF 4</t>
  </si>
  <si>
    <t>CUENTA DE RESULTADOS - NIIF 4</t>
  </si>
  <si>
    <t>LÍNEAS DE NEGOCIO - NIIF 4</t>
  </si>
  <si>
    <t>MOTOR - NIIF 4</t>
  </si>
  <si>
    <t>HOGAR - NIIF 4</t>
  </si>
  <si>
    <t>SALUD - NIIF 4</t>
  </si>
  <si>
    <t>OTROS NEGOCIOS ASEGURADORES - NIIF 4</t>
  </si>
  <si>
    <r>
      <t>TOTAL</t>
    </r>
    <r>
      <rPr>
        <b/>
        <sz val="10"/>
        <color rgb="FFC00000"/>
        <rFont val="Futura Std Light"/>
        <family val="2"/>
      </rPr>
      <t xml:space="preserve"> ACTIVO</t>
    </r>
  </si>
  <si>
    <r>
      <t>TOTAL</t>
    </r>
    <r>
      <rPr>
        <b/>
        <sz val="10"/>
        <color rgb="FFC00000"/>
        <rFont val="Futura Std Light"/>
        <family val="2"/>
      </rPr>
      <t xml:space="preserve"> PASIVO Y PATRIMONIO NETO</t>
    </r>
  </si>
  <si>
    <t>INVERSIONES FINANCIERAS</t>
  </si>
  <si>
    <t>ACTIVOS POR CONTRATOS DE REASEGUROS</t>
  </si>
  <si>
    <t>Provisión para cobertura restante</t>
  </si>
  <si>
    <t>Provisión para reclamaciones incurridas</t>
  </si>
  <si>
    <t>PASIVOS POR CONTRATOS DE SEGURO</t>
  </si>
  <si>
    <t>INGRESOS DEL SERVICIO DE SEGUROS</t>
  </si>
  <si>
    <t>Gastos del servicio de seguros</t>
  </si>
  <si>
    <t>RESULTADO DEL SERVICIO DE SEGURO BRUTO</t>
  </si>
  <si>
    <t>Resultado del reaseguro</t>
  </si>
  <si>
    <t>RESULTADO DEL SERVICIO DE SEGURO NETO</t>
  </si>
  <si>
    <t>RESULTADO NETO DE INVERSIONES</t>
  </si>
  <si>
    <t>Otros ingresos y gastos</t>
  </si>
  <si>
    <t>RESULTADO ANTES DE IMPUESTOS</t>
  </si>
  <si>
    <t>RESULTADO NETO DE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</si>
</sst>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\(#,##0\)"/>
    <numFmt numFmtId="166" formatCode="#,##0;\(#,##0\);\-"/>
    <numFmt numFmtId="167" formatCode="0.0\ \p\.\p"/>
    <numFmt numFmtId="168" formatCode="#,##0.0%;\-#,##0.0%"/>
    <numFmt numFmtId="169" formatCode="0.00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595959"/>
      <name val="Calibri"/>
      <family val="2"/>
      <charset val="1"/>
    </font>
    <font>
      <b/>
      <sz val="10"/>
      <color rgb="FFC00000"/>
      <name val="Calibri"/>
      <family val="2"/>
      <charset val="1"/>
    </font>
    <font>
      <i/>
      <sz val="11"/>
      <color theme="1" tint="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Futura Std Light"/>
      <family val="2"/>
    </font>
    <font>
      <sz val="11"/>
      <color theme="1"/>
      <name val="Futura Std Light"/>
      <family val="2"/>
    </font>
    <font>
      <b/>
      <sz val="10"/>
      <color rgb="FFC00000"/>
      <name val="Futura Std Light"/>
      <family val="2"/>
    </font>
    <font>
      <b/>
      <sz val="10"/>
      <color rgb="FFC9211E"/>
      <name val="Futura Std Light"/>
      <family val="2"/>
    </font>
    <font>
      <b/>
      <sz val="10"/>
      <color theme="1" tint="0.34998626667073579"/>
      <name val="Futura Std Light"/>
      <family val="2"/>
    </font>
    <font>
      <sz val="10"/>
      <color theme="1" tint="0.34998626667073579"/>
      <name val="Futura Std Light"/>
      <family val="2"/>
    </font>
    <font>
      <sz val="10"/>
      <color theme="1"/>
      <name val="Futura Std Light"/>
      <family val="2"/>
    </font>
    <font>
      <i/>
      <sz val="10"/>
      <color theme="1" tint="0.34998626667073579"/>
      <name val="Futura Std Light"/>
      <family val="2"/>
    </font>
    <font>
      <b/>
      <i/>
      <sz val="10"/>
      <color theme="1" tint="0.34998626667073579"/>
      <name val="Futura Std Light"/>
      <family val="2"/>
    </font>
    <font>
      <sz val="10"/>
      <color rgb="FF595959"/>
      <name val="Futura Std Light"/>
      <family val="2"/>
    </font>
    <font>
      <sz val="10"/>
      <name val="Futura Std Light"/>
      <family val="2"/>
    </font>
    <font>
      <i/>
      <sz val="10"/>
      <name val="Futura Std Light"/>
      <family val="2"/>
    </font>
    <font>
      <sz val="10"/>
      <color rgb="FFC00000"/>
      <name val="Calibri"/>
      <family val="2"/>
      <scheme val="minor"/>
    </font>
    <font>
      <sz val="10"/>
      <color rgb="FFC00000"/>
      <name val="Futura Std Light"/>
      <family val="2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C00000"/>
      <name val="Futura Std Light"/>
      <family val="2"/>
    </font>
    <font>
      <b/>
      <sz val="10"/>
      <color theme="1" tint="0.34998626667073579"/>
      <name val="Futura Std Light"/>
      <family val="2"/>
    </font>
    <font>
      <b/>
      <sz val="11"/>
      <color theme="1"/>
      <name val="Futura Std Light"/>
      <family val="2"/>
    </font>
    <font>
      <b/>
      <sz val="10"/>
      <name val="Futura Std Light"/>
      <family val="2"/>
    </font>
    <font>
      <b/>
      <sz val="10"/>
      <color rgb="FF595959"/>
      <name val="Futura Std Light"/>
      <family val="2"/>
    </font>
    <font>
      <b/>
      <sz val="9"/>
      <color theme="0"/>
      <name val="Futura Std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rgb="FFC00000"/>
      </bottom>
      <diagonal/>
    </border>
    <border>
      <left/>
      <right style="thick">
        <color theme="0"/>
      </right>
      <top/>
      <bottom style="medium">
        <color theme="1" tint="0.34998626667073579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ck">
        <color theme="0"/>
      </left>
      <right/>
      <top/>
      <bottom style="medium">
        <color theme="1" tint="0.34998626667073579"/>
      </bottom>
      <diagonal/>
    </border>
    <border>
      <left/>
      <right/>
      <top/>
      <bottom style="thin">
        <color rgb="FF59595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ck">
        <color theme="0"/>
      </right>
      <top style="medium">
        <color theme="1" tint="0.34998626667073579"/>
      </top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/>
      <diagonal/>
    </border>
    <border>
      <left style="thick">
        <color theme="0"/>
      </left>
      <right/>
      <top style="medium">
        <color theme="1" tint="0.34998626667073579"/>
      </top>
      <bottom/>
      <diagonal/>
    </border>
    <border>
      <left style="thick">
        <color rgb="FFFFFFFF"/>
      </left>
      <right style="thick">
        <color rgb="FFFFFFFF"/>
      </right>
      <top/>
      <bottom style="thin">
        <color rgb="FF595959"/>
      </bottom>
      <diagonal/>
    </border>
    <border>
      <left/>
      <right style="thick">
        <color rgb="FFFFFFFF"/>
      </right>
      <top style="thin">
        <color rgb="FF595959"/>
      </top>
      <bottom/>
      <diagonal/>
    </border>
    <border>
      <left style="thick">
        <color rgb="FFFFFFFF"/>
      </left>
      <right style="thick">
        <color rgb="FFFFFFFF"/>
      </right>
      <top style="thin">
        <color rgb="FF595959"/>
      </top>
      <bottom/>
      <diagonal/>
    </border>
    <border>
      <left style="thick">
        <color rgb="FFFFFFFF"/>
      </left>
      <right style="thick">
        <color rgb="FFFFFFFF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rgb="FFFFFFFF"/>
      </left>
      <right style="thick">
        <color rgb="FFFFFFFF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 style="thin">
        <color auto="1"/>
      </top>
      <bottom style="thin">
        <color rgb="FF595959"/>
      </bottom>
      <diagonal/>
    </border>
    <border>
      <left style="thick">
        <color rgb="FFFFFFFF"/>
      </left>
      <right style="thick">
        <color rgb="FFFFFFFF"/>
      </right>
      <top style="thin">
        <color rgb="FF000000"/>
      </top>
      <bottom style="thin">
        <color rgb="FF595959"/>
      </bottom>
      <diagonal/>
    </border>
    <border>
      <left/>
      <right/>
      <top style="thin">
        <color rgb="FF000000"/>
      </top>
      <bottom style="thin">
        <color rgb="FF595959"/>
      </bottom>
      <diagonal/>
    </border>
    <border>
      <left/>
      <right/>
      <top style="thin">
        <color rgb="FF595959"/>
      </top>
      <bottom style="thin">
        <color rgb="FF595959"/>
      </bottom>
      <diagonal/>
    </border>
    <border>
      <left style="thick">
        <color rgb="FFFFFFFF"/>
      </left>
      <right style="thick">
        <color rgb="FFFFFFFF"/>
      </right>
      <top style="thin">
        <color rgb="FF595959"/>
      </top>
      <bottom style="thin">
        <color rgb="FF595959"/>
      </bottom>
      <diagonal/>
    </border>
    <border>
      <left/>
      <right/>
      <top style="thin">
        <color rgb="FF595959"/>
      </top>
      <bottom style="thin">
        <color rgb="FF000000"/>
      </bottom>
      <diagonal/>
    </border>
    <border>
      <left/>
      <right/>
      <top style="thin">
        <color rgb="FF595959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169">
    <xf numFmtId="0" fontId="0" fillId="0" borderId="0" xfId="0"/>
    <xf numFmtId="0" fontId="0" fillId="2" borderId="0" xfId="0" applyFill="1" applyAlignment="1">
      <alignment vertical="center"/>
    </xf>
    <xf numFmtId="165" fontId="0" fillId="2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0" xfId="0" applyFont="1" applyAlignment="1">
      <alignment horizontal="right" vertical="center"/>
    </xf>
    <xf numFmtId="10" fontId="4" fillId="2" borderId="0" xfId="2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readingOrder="1"/>
    </xf>
    <xf numFmtId="0" fontId="9" fillId="3" borderId="0" xfId="0" applyFont="1" applyFill="1" applyAlignment="1">
      <alignment horizontal="left" vertical="center" readingOrder="1"/>
    </xf>
    <xf numFmtId="165" fontId="8" fillId="2" borderId="0" xfId="1" applyNumberFormat="1" applyFont="1" applyFill="1" applyBorder="1" applyAlignment="1">
      <alignment vertical="center"/>
    </xf>
    <xf numFmtId="166" fontId="1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1" fillId="0" borderId="0" xfId="1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14" fontId="11" fillId="0" borderId="1" xfId="1" applyNumberFormat="1" applyFont="1" applyFill="1" applyBorder="1" applyAlignment="1">
      <alignment horizontal="right" vertical="center"/>
    </xf>
    <xf numFmtId="166" fontId="11" fillId="0" borderId="2" xfId="1" applyNumberFormat="1" applyFont="1" applyFill="1" applyBorder="1" applyAlignment="1">
      <alignment vertical="center"/>
    </xf>
    <xf numFmtId="166" fontId="11" fillId="0" borderId="2" xfId="1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vertical="center" readingOrder="1"/>
    </xf>
    <xf numFmtId="0" fontId="10" fillId="0" borderId="3" xfId="0" applyFont="1" applyBorder="1" applyAlignment="1">
      <alignment vertical="center" readingOrder="1"/>
    </xf>
    <xf numFmtId="14" fontId="9" fillId="4" borderId="7" xfId="1" applyNumberFormat="1" applyFont="1" applyFill="1" applyBorder="1" applyAlignment="1">
      <alignment horizontal="right" vertical="center"/>
    </xf>
    <xf numFmtId="166" fontId="11" fillId="4" borderId="8" xfId="1" applyNumberFormat="1" applyFont="1" applyFill="1" applyBorder="1" applyAlignment="1">
      <alignment horizontal="right" vertical="center"/>
    </xf>
    <xf numFmtId="166" fontId="12" fillId="4" borderId="8" xfId="1" applyNumberFormat="1" applyFont="1" applyFill="1" applyBorder="1" applyAlignment="1">
      <alignment horizontal="right" vertical="center"/>
    </xf>
    <xf numFmtId="166" fontId="11" fillId="4" borderId="9" xfId="1" applyNumberFormat="1" applyFont="1" applyFill="1" applyBorder="1" applyAlignment="1">
      <alignment vertical="center"/>
    </xf>
    <xf numFmtId="166" fontId="11" fillId="4" borderId="9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readingOrder="1"/>
    </xf>
    <xf numFmtId="0" fontId="11" fillId="0" borderId="0" xfId="0" applyFont="1" applyAlignment="1">
      <alignment vertical="center" readingOrder="1"/>
    </xf>
    <xf numFmtId="0" fontId="12" fillId="0" borderId="0" xfId="0" applyFont="1" applyAlignment="1">
      <alignment vertical="center"/>
    </xf>
    <xf numFmtId="166" fontId="12" fillId="0" borderId="0" xfId="1" applyNumberFormat="1" applyFont="1" applyFill="1" applyBorder="1" applyAlignment="1">
      <alignment vertical="center"/>
    </xf>
    <xf numFmtId="166" fontId="11" fillId="4" borderId="8" xfId="1" applyNumberFormat="1" applyFont="1" applyFill="1" applyBorder="1" applyAlignment="1">
      <alignment vertical="center"/>
    </xf>
    <xf numFmtId="166" fontId="12" fillId="4" borderId="8" xfId="1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1" applyNumberFormat="1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/>
    </xf>
    <xf numFmtId="0" fontId="12" fillId="0" borderId="12" xfId="0" applyFont="1" applyBorder="1" applyAlignment="1">
      <alignment vertical="center"/>
    </xf>
    <xf numFmtId="164" fontId="15" fillId="0" borderId="0" xfId="2" applyNumberFormat="1" applyFont="1" applyFill="1" applyBorder="1" applyAlignment="1">
      <alignment horizontal="right" vertical="center"/>
    </xf>
    <xf numFmtId="164" fontId="14" fillId="0" borderId="0" xfId="2" applyNumberFormat="1" applyFont="1" applyFill="1" applyBorder="1" applyAlignment="1">
      <alignment horizontal="right" vertical="center"/>
    </xf>
    <xf numFmtId="0" fontId="11" fillId="0" borderId="1" xfId="1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right" vertical="center" wrapText="1"/>
    </xf>
    <xf numFmtId="165" fontId="15" fillId="0" borderId="1" xfId="1" applyNumberFormat="1" applyFont="1" applyFill="1" applyBorder="1" applyAlignment="1">
      <alignment horizontal="right" vertical="center"/>
    </xf>
    <xf numFmtId="164" fontId="15" fillId="0" borderId="2" xfId="2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168" fontId="12" fillId="0" borderId="0" xfId="2" applyNumberFormat="1" applyFont="1" applyFill="1" applyBorder="1" applyAlignment="1">
      <alignment horizontal="right" vertical="center"/>
    </xf>
    <xf numFmtId="168" fontId="11" fillId="0" borderId="2" xfId="2" applyNumberFormat="1" applyFont="1" applyFill="1" applyBorder="1" applyAlignment="1">
      <alignment horizontal="right" vertical="center"/>
    </xf>
    <xf numFmtId="0" fontId="11" fillId="0" borderId="1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4" fontId="12" fillId="0" borderId="0" xfId="2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4" fontId="11" fillId="0" borderId="2" xfId="2" applyNumberFormat="1" applyFont="1" applyFill="1" applyBorder="1" applyAlignment="1">
      <alignment horizontal="right" vertical="center"/>
    </xf>
    <xf numFmtId="164" fontId="11" fillId="4" borderId="5" xfId="2" applyNumberFormat="1" applyFont="1" applyFill="1" applyBorder="1" applyAlignment="1">
      <alignment horizontal="center" vertical="center"/>
    </xf>
    <xf numFmtId="164" fontId="12" fillId="4" borderId="5" xfId="2" applyNumberFormat="1" applyFont="1" applyFill="1" applyBorder="1" applyAlignment="1">
      <alignment horizontal="center" vertical="center"/>
    </xf>
    <xf numFmtId="164" fontId="11" fillId="4" borderId="6" xfId="2" applyNumberFormat="1" applyFont="1" applyFill="1" applyBorder="1" applyAlignment="1">
      <alignment horizontal="center" vertical="center"/>
    </xf>
    <xf numFmtId="0" fontId="8" fillId="0" borderId="0" xfId="0" applyFont="1"/>
    <xf numFmtId="0" fontId="8" fillId="4" borderId="0" xfId="0" applyFont="1" applyFill="1" applyAlignment="1">
      <alignment vertical="center"/>
    </xf>
    <xf numFmtId="0" fontId="11" fillId="0" borderId="1" xfId="1" applyNumberFormat="1" applyFont="1" applyFill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3" fillId="0" borderId="0" xfId="0" applyFont="1"/>
    <xf numFmtId="0" fontId="12" fillId="0" borderId="0" xfId="0" applyFont="1"/>
    <xf numFmtId="3" fontId="12" fillId="0" borderId="0" xfId="0" applyNumberFormat="1" applyFont="1"/>
    <xf numFmtId="166" fontId="12" fillId="0" borderId="0" xfId="0" applyNumberFormat="1" applyFont="1"/>
    <xf numFmtId="0" fontId="11" fillId="0" borderId="0" xfId="0" applyFont="1"/>
    <xf numFmtId="3" fontId="11" fillId="0" borderId="0" xfId="0" applyNumberFormat="1" applyFont="1"/>
    <xf numFmtId="9" fontId="11" fillId="0" borderId="15" xfId="2" applyFont="1" applyFill="1" applyBorder="1" applyAlignment="1">
      <alignment vertical="center"/>
    </xf>
    <xf numFmtId="9" fontId="11" fillId="0" borderId="1" xfId="2" applyFont="1" applyFill="1" applyBorder="1" applyAlignment="1">
      <alignment vertical="center"/>
    </xf>
    <xf numFmtId="0" fontId="14" fillId="0" borderId="0" xfId="0" applyFont="1" applyAlignment="1">
      <alignment horizontal="left" indent="1"/>
    </xf>
    <xf numFmtId="9" fontId="14" fillId="0" borderId="0" xfId="2" applyFont="1"/>
    <xf numFmtId="165" fontId="11" fillId="0" borderId="0" xfId="1" applyNumberFormat="1" applyFont="1" applyFill="1" applyBorder="1" applyAlignment="1">
      <alignment vertical="center"/>
    </xf>
    <xf numFmtId="0" fontId="17" fillId="4" borderId="0" xfId="3" applyFont="1" applyFill="1" applyBorder="1" applyAlignment="1">
      <alignment horizontal="left" vertical="center" indent="1"/>
    </xf>
    <xf numFmtId="0" fontId="18" fillId="4" borderId="0" xfId="3" applyFont="1" applyFill="1" applyBorder="1" applyAlignment="1">
      <alignment horizontal="left" vertical="center" indent="2"/>
    </xf>
    <xf numFmtId="164" fontId="11" fillId="4" borderId="16" xfId="2" applyNumberFormat="1" applyFont="1" applyFill="1" applyBorder="1" applyAlignment="1">
      <alignment horizontal="center" vertical="center"/>
    </xf>
    <xf numFmtId="164" fontId="11" fillId="4" borderId="1" xfId="2" applyNumberFormat="1" applyFont="1" applyFill="1" applyBorder="1" applyAlignment="1">
      <alignment horizontal="center" vertical="center"/>
    </xf>
    <xf numFmtId="167" fontId="15" fillId="0" borderId="2" xfId="2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center" vertical="center"/>
    </xf>
    <xf numFmtId="169" fontId="0" fillId="2" borderId="0" xfId="2" applyNumberFormat="1" applyFont="1" applyFill="1" applyAlignment="1">
      <alignment vertical="center"/>
    </xf>
    <xf numFmtId="165" fontId="11" fillId="0" borderId="2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165" fontId="11" fillId="0" borderId="5" xfId="1" applyNumberFormat="1" applyFont="1" applyFill="1" applyBorder="1" applyAlignment="1">
      <alignment horizontal="right" vertical="center"/>
    </xf>
    <xf numFmtId="165" fontId="11" fillId="4" borderId="10" xfId="1" applyNumberFormat="1" applyFont="1" applyFill="1" applyBorder="1" applyAlignment="1">
      <alignment horizontal="center" vertical="center"/>
    </xf>
    <xf numFmtId="165" fontId="12" fillId="0" borderId="0" xfId="1" applyNumberFormat="1" applyFont="1" applyFill="1" applyBorder="1" applyAlignment="1">
      <alignment horizontal="center" vertical="center"/>
    </xf>
    <xf numFmtId="165" fontId="11" fillId="0" borderId="15" xfId="1" applyNumberFormat="1" applyFont="1" applyFill="1" applyBorder="1" applyAlignment="1">
      <alignment horizontal="center" vertical="center"/>
    </xf>
    <xf numFmtId="165" fontId="11" fillId="4" borderId="18" xfId="1" applyNumberFormat="1" applyFont="1" applyFill="1" applyBorder="1" applyAlignment="1">
      <alignment horizontal="center" vertical="center"/>
    </xf>
    <xf numFmtId="165" fontId="11" fillId="0" borderId="2" xfId="1" applyNumberFormat="1" applyFont="1" applyFill="1" applyBorder="1" applyAlignment="1">
      <alignment horizontal="center" vertical="center"/>
    </xf>
    <xf numFmtId="165" fontId="11" fillId="4" borderId="11" xfId="1" applyNumberFormat="1" applyFont="1" applyFill="1" applyBorder="1" applyAlignment="1">
      <alignment horizontal="center" vertical="center"/>
    </xf>
    <xf numFmtId="166" fontId="12" fillId="0" borderId="0" xfId="1" applyNumberFormat="1" applyFont="1" applyFill="1" applyBorder="1" applyAlignment="1">
      <alignment horizontal="center" vertical="center"/>
    </xf>
    <xf numFmtId="166" fontId="12" fillId="4" borderId="1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0" fontId="11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 readingOrder="1"/>
    </xf>
    <xf numFmtId="0" fontId="11" fillId="0" borderId="2" xfId="0" applyFont="1" applyBorder="1" applyAlignment="1">
      <alignment horizontal="left" vertical="center" readingOrder="1"/>
    </xf>
    <xf numFmtId="0" fontId="3" fillId="3" borderId="0" xfId="0" applyFont="1" applyFill="1" applyAlignment="1">
      <alignment horizontal="left" vertical="center" readingOrder="1"/>
    </xf>
    <xf numFmtId="0" fontId="11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3"/>
    </xf>
    <xf numFmtId="0" fontId="11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indent="2"/>
    </xf>
    <xf numFmtId="166" fontId="11" fillId="4" borderId="10" xfId="1" applyNumberFormat="1" applyFont="1" applyFill="1" applyBorder="1" applyAlignment="1">
      <alignment horizontal="center" vertical="center"/>
    </xf>
    <xf numFmtId="3" fontId="11" fillId="4" borderId="8" xfId="1" applyNumberFormat="1" applyFont="1" applyFill="1" applyBorder="1" applyAlignment="1">
      <alignment vertical="center"/>
    </xf>
    <xf numFmtId="9" fontId="14" fillId="4" borderId="8" xfId="2" applyFont="1" applyFill="1" applyBorder="1" applyAlignment="1">
      <alignment vertical="center"/>
    </xf>
    <xf numFmtId="9" fontId="11" fillId="4" borderId="17" xfId="2" applyFont="1" applyFill="1" applyBorder="1" applyAlignment="1">
      <alignment vertical="center"/>
    </xf>
    <xf numFmtId="0" fontId="19" fillId="0" borderId="0" xfId="0" applyFont="1"/>
    <xf numFmtId="0" fontId="9" fillId="0" borderId="3" xfId="0" applyFont="1" applyBorder="1" applyAlignment="1">
      <alignment vertical="center" readingOrder="1"/>
    </xf>
    <xf numFmtId="165" fontId="20" fillId="0" borderId="0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9" fillId="4" borderId="7" xfId="1" applyNumberFormat="1" applyFont="1" applyFill="1" applyBorder="1" applyAlignment="1">
      <alignment horizontal="right" vertical="center"/>
    </xf>
    <xf numFmtId="164" fontId="12" fillId="4" borderId="8" xfId="2" applyNumberFormat="1" applyFont="1" applyFill="1" applyBorder="1" applyAlignment="1">
      <alignment horizontal="right" vertical="center"/>
    </xf>
    <xf numFmtId="164" fontId="11" fillId="4" borderId="9" xfId="2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9" fillId="4" borderId="7" xfId="0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4" fontId="15" fillId="0" borderId="2" xfId="1" applyNumberFormat="1" applyFont="1" applyFill="1" applyBorder="1" applyAlignment="1">
      <alignment horizontal="right" vertical="center"/>
    </xf>
    <xf numFmtId="167" fontId="24" fillId="0" borderId="1" xfId="0" applyNumberFormat="1" applyFont="1" applyBorder="1" applyAlignment="1">
      <alignment horizontal="right" vertical="center"/>
    </xf>
    <xf numFmtId="2" fontId="24" fillId="2" borderId="1" xfId="0" applyNumberFormat="1" applyFont="1" applyFill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4" fontId="15" fillId="2" borderId="2" xfId="2" applyNumberFormat="1" applyFont="1" applyFill="1" applyBorder="1" applyAlignment="1">
      <alignment horizontal="right" vertical="center"/>
    </xf>
    <xf numFmtId="0" fontId="15" fillId="0" borderId="1" xfId="1" applyNumberFormat="1" applyFont="1" applyFill="1" applyBorder="1" applyAlignment="1">
      <alignment horizontal="right" vertical="center"/>
    </xf>
    <xf numFmtId="167" fontId="15" fillId="0" borderId="2" xfId="0" applyNumberFormat="1" applyFont="1" applyBorder="1" applyAlignment="1">
      <alignment horizontal="right" vertical="center"/>
    </xf>
    <xf numFmtId="165" fontId="11" fillId="4" borderId="8" xfId="1" applyNumberFormat="1" applyFont="1" applyFill="1" applyBorder="1" applyAlignment="1">
      <alignment horizontal="right" vertical="center"/>
    </xf>
    <xf numFmtId="165" fontId="12" fillId="4" borderId="8" xfId="1" applyNumberFormat="1" applyFont="1" applyFill="1" applyBorder="1" applyAlignment="1">
      <alignment horizontal="right" vertical="center"/>
    </xf>
    <xf numFmtId="165" fontId="11" fillId="4" borderId="9" xfId="1" applyNumberFormat="1" applyFont="1" applyFill="1" applyBorder="1" applyAlignment="1">
      <alignment horizontal="right" vertical="center"/>
    </xf>
    <xf numFmtId="0" fontId="15" fillId="0" borderId="1" xfId="1" applyNumberFormat="1" applyFont="1" applyFill="1" applyBorder="1" applyAlignment="1">
      <alignment horizontal="right" vertical="center" wrapText="1"/>
    </xf>
    <xf numFmtId="164" fontId="15" fillId="0" borderId="1" xfId="2" applyNumberFormat="1" applyFont="1" applyFill="1" applyBorder="1" applyAlignment="1">
      <alignment horizontal="right" vertical="center" wrapText="1"/>
    </xf>
    <xf numFmtId="168" fontId="12" fillId="4" borderId="8" xfId="2" applyNumberFormat="1" applyFont="1" applyFill="1" applyBorder="1" applyAlignment="1">
      <alignment horizontal="right" vertical="center"/>
    </xf>
    <xf numFmtId="168" fontId="11" fillId="4" borderId="9" xfId="2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/>
    </xf>
    <xf numFmtId="9" fontId="11" fillId="4" borderId="7" xfId="2" applyFont="1" applyFill="1" applyBorder="1" applyAlignment="1">
      <alignment vertical="center"/>
    </xf>
    <xf numFmtId="0" fontId="25" fillId="4" borderId="0" xfId="0" applyFont="1" applyFill="1" applyAlignment="1">
      <alignment vertical="center"/>
    </xf>
    <xf numFmtId="0" fontId="26" fillId="4" borderId="0" xfId="0" applyFont="1" applyFill="1" applyAlignment="1">
      <alignment vertical="center"/>
    </xf>
    <xf numFmtId="0" fontId="26" fillId="4" borderId="0" xfId="3" applyFont="1" applyFill="1" applyBorder="1" applyAlignment="1">
      <alignment horizontal="left" vertical="center"/>
    </xf>
    <xf numFmtId="165" fontId="16" fillId="5" borderId="19" xfId="0" applyNumberFormat="1" applyFont="1" applyFill="1" applyBorder="1" applyAlignment="1">
      <alignment horizontal="right" vertical="center" wrapText="1" readingOrder="1"/>
    </xf>
    <xf numFmtId="165" fontId="27" fillId="5" borderId="21" xfId="0" applyNumberFormat="1" applyFont="1" applyFill="1" applyBorder="1" applyAlignment="1">
      <alignment horizontal="right" vertical="center" wrapText="1" readingOrder="1"/>
    </xf>
    <xf numFmtId="165" fontId="16" fillId="5" borderId="22" xfId="0" applyNumberFormat="1" applyFont="1" applyFill="1" applyBorder="1" applyAlignment="1">
      <alignment horizontal="right" vertical="center" wrapText="1" readingOrder="1"/>
    </xf>
    <xf numFmtId="165" fontId="27" fillId="5" borderId="24" xfId="0" applyNumberFormat="1" applyFont="1" applyFill="1" applyBorder="1" applyAlignment="1">
      <alignment horizontal="right" vertical="center" wrapText="1" readingOrder="1"/>
    </xf>
    <xf numFmtId="165" fontId="27" fillId="5" borderId="26" xfId="0" applyNumberFormat="1" applyFont="1" applyFill="1" applyBorder="1" applyAlignment="1">
      <alignment horizontal="right" vertical="center" wrapText="1" readingOrder="1"/>
    </xf>
    <xf numFmtId="0" fontId="11" fillId="0" borderId="27" xfId="0" applyFont="1" applyBorder="1" applyAlignment="1">
      <alignment horizontal="left" vertical="center" readingOrder="1"/>
    </xf>
    <xf numFmtId="165" fontId="27" fillId="5" borderId="28" xfId="0" applyNumberFormat="1" applyFont="1" applyFill="1" applyBorder="1" applyAlignment="1">
      <alignment horizontal="right" vertical="center" wrapText="1" readingOrder="1"/>
    </xf>
    <xf numFmtId="0" fontId="12" fillId="0" borderId="30" xfId="0" applyFont="1" applyBorder="1" applyAlignment="1">
      <alignment horizontal="left" vertical="center"/>
    </xf>
    <xf numFmtId="165" fontId="16" fillId="5" borderId="31" xfId="0" applyNumberFormat="1" applyFont="1" applyFill="1" applyBorder="1" applyAlignment="1">
      <alignment horizontal="right" vertical="center" wrapText="1" readingOrder="1"/>
    </xf>
    <xf numFmtId="0" fontId="11" fillId="0" borderId="23" xfId="0" applyFont="1" applyBorder="1" applyAlignment="1">
      <alignment horizontal="left" vertical="center" readingOrder="1"/>
    </xf>
    <xf numFmtId="165" fontId="27" fillId="5" borderId="31" xfId="0" applyNumberFormat="1" applyFont="1" applyFill="1" applyBorder="1" applyAlignment="1">
      <alignment horizontal="right" vertical="center" wrapText="1" readingOrder="1"/>
    </xf>
    <xf numFmtId="165" fontId="12" fillId="0" borderId="8" xfId="0" applyNumberFormat="1" applyFont="1" applyBorder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165" fontId="16" fillId="0" borderId="14" xfId="0" applyNumberFormat="1" applyFont="1" applyBorder="1" applyAlignment="1">
      <alignment horizontal="right" vertical="center" wrapText="1" readingOrder="1"/>
    </xf>
    <xf numFmtId="165" fontId="27" fillId="0" borderId="20" xfId="0" applyNumberFormat="1" applyFont="1" applyBorder="1" applyAlignment="1">
      <alignment horizontal="right" vertical="center" wrapText="1" readingOrder="1"/>
    </xf>
    <xf numFmtId="165" fontId="16" fillId="0" borderId="23" xfId="0" applyNumberFormat="1" applyFont="1" applyBorder="1" applyAlignment="1">
      <alignment horizontal="right" vertical="center" wrapText="1" readingOrder="1"/>
    </xf>
    <xf numFmtId="165" fontId="27" fillId="0" borderId="25" xfId="0" applyNumberFormat="1" applyFont="1" applyBorder="1" applyAlignment="1">
      <alignment horizontal="right" vertical="center" wrapText="1" readingOrder="1"/>
    </xf>
    <xf numFmtId="165" fontId="27" fillId="0" borderId="0" xfId="0" applyNumberFormat="1" applyFont="1" applyAlignment="1">
      <alignment horizontal="right" vertical="center" wrapText="1" readingOrder="1"/>
    </xf>
    <xf numFmtId="165" fontId="27" fillId="0" borderId="29" xfId="0" applyNumberFormat="1" applyFont="1" applyBorder="1" applyAlignment="1">
      <alignment horizontal="right" vertical="center" wrapText="1" readingOrder="1"/>
    </xf>
    <xf numFmtId="165" fontId="16" fillId="0" borderId="30" xfId="0" applyNumberFormat="1" applyFont="1" applyBorder="1" applyAlignment="1">
      <alignment horizontal="right" vertical="center" wrapText="1" readingOrder="1"/>
    </xf>
    <xf numFmtId="165" fontId="27" fillId="0" borderId="32" xfId="0" applyNumberFormat="1" applyFont="1" applyBorder="1" applyAlignment="1">
      <alignment horizontal="right" vertical="center" wrapText="1" readingOrder="1"/>
    </xf>
    <xf numFmtId="0" fontId="16" fillId="0" borderId="14" xfId="0" applyFont="1" applyBorder="1" applyAlignment="1">
      <alignment horizontal="left" vertical="center" wrapText="1" readingOrder="1"/>
    </xf>
    <xf numFmtId="0" fontId="27" fillId="0" borderId="33" xfId="0" applyFont="1" applyBorder="1" applyAlignment="1">
      <alignment horizontal="left" vertical="center" wrapText="1" readingOrder="1"/>
    </xf>
    <xf numFmtId="0" fontId="16" fillId="0" borderId="23" xfId="0" applyFont="1" applyBorder="1" applyAlignment="1">
      <alignment horizontal="left" vertical="center" wrapText="1" readingOrder="1"/>
    </xf>
    <xf numFmtId="0" fontId="27" fillId="0" borderId="25" xfId="0" applyFont="1" applyBorder="1" applyAlignment="1">
      <alignment horizontal="left" vertical="center" wrapText="1" readingOrder="1"/>
    </xf>
    <xf numFmtId="0" fontId="27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left" vertical="center" readingOrder="1"/>
    </xf>
    <xf numFmtId="0" fontId="28" fillId="6" borderId="0" xfId="3" applyFont="1" applyFill="1" applyBorder="1" applyAlignment="1">
      <alignment horizontal="center" vertical="center"/>
    </xf>
    <xf numFmtId="0" fontId="28" fillId="6" borderId="0" xfId="0" applyFont="1" applyFill="1" applyAlignment="1">
      <alignment horizontal="left" vertical="center" indent="1"/>
    </xf>
    <xf numFmtId="0" fontId="11" fillId="0" borderId="12" xfId="0" applyFont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0" fontId="9" fillId="4" borderId="13" xfId="1" applyNumberFormat="1" applyFont="1" applyFill="1" applyBorder="1" applyAlignment="1">
      <alignment horizontal="center" vertical="center"/>
    </xf>
    <xf numFmtId="0" fontId="9" fillId="4" borderId="4" xfId="1" applyNumberFormat="1" applyFont="1" applyFill="1" applyBorder="1" applyAlignment="1">
      <alignment horizontal="center" vertical="center"/>
    </xf>
  </cellXfs>
  <cellStyles count="5">
    <cellStyle name="Hipervínculo" xfId="3" builtinId="8"/>
    <cellStyle name="Millares" xfId="1" builtinId="3"/>
    <cellStyle name="Normal" xfId="0" builtinId="0"/>
    <cellStyle name="Normal 5" xfId="4" xr:uid="{06D17B51-E801-4572-B6B8-C55CA8E92F74}"/>
    <cellStyle name="Porcentaje" xfId="2" builtinId="5"/>
  </cellStyles>
  <dxfs count="0"/>
  <tableStyles count="0" defaultTableStyle="TableStyleMedium2" defaultPivotStyle="PivotStyleLight16"/>
  <colors>
    <mruColors>
      <color rgb="FF595959"/>
      <color rgb="FFE74545"/>
      <color rgb="FFFFAFAF"/>
      <color rgb="FFFF6161"/>
      <color rgb="FFFF2D2D"/>
      <color rgb="FFFF6969"/>
      <color rgb="FFE31B1B"/>
      <color rgb="FFFE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31AC9CF-36EF-6EF7-7AA9-FD6BF0AFB73B}"/>
            </a:ext>
          </a:extLst>
        </xdr:cNvPr>
        <xdr:cNvSpPr/>
      </xdr:nvSpPr>
      <xdr:spPr>
        <a:xfrm>
          <a:off x="0" y="0"/>
          <a:ext cx="5437188" cy="361156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7937</xdr:colOff>
      <xdr:row>18</xdr:row>
      <xdr:rowOff>13665</xdr:rowOff>
    </xdr:to>
    <xdr:pic>
      <xdr:nvPicPr>
        <xdr:cNvPr id="2" name="Imagen 1" descr="La fachada de un local comercial&#10;&#10;Descripción generada automáticamente con confianza baja">
          <a:extLst>
            <a:ext uri="{FF2B5EF4-FFF2-40B4-BE49-F238E27FC236}">
              <a16:creationId xmlns:a16="http://schemas.microsoft.com/office/drawing/2014/main" id="{E8D5624E-5C01-A23A-65AC-46AA9CB59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45125" cy="3625228"/>
        </a:xfrm>
        <a:prstGeom prst="flowChartManualInput">
          <a:avLst/>
        </a:prstGeom>
        <a:effectLst/>
      </xdr:spPr>
    </xdr:pic>
    <xdr:clientData/>
  </xdr:twoCellAnchor>
  <xdr:twoCellAnchor>
    <xdr:from>
      <xdr:col>0</xdr:col>
      <xdr:colOff>111125</xdr:colOff>
      <xdr:row>0</xdr:row>
      <xdr:rowOff>80106</xdr:rowOff>
    </xdr:from>
    <xdr:to>
      <xdr:col>4</xdr:col>
      <xdr:colOff>736599</xdr:colOff>
      <xdr:row>3</xdr:row>
      <xdr:rowOff>4339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03B1768-79B6-485C-98DD-E70702714471}"/>
            </a:ext>
          </a:extLst>
        </xdr:cNvPr>
        <xdr:cNvSpPr/>
      </xdr:nvSpPr>
      <xdr:spPr>
        <a:xfrm>
          <a:off x="111125" y="80106"/>
          <a:ext cx="3673474" cy="559233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ES" sz="2800" b="1" i="0" baseline="0">
              <a:solidFill>
                <a:sysClr val="windowText" lastClr="000000"/>
              </a:solidFill>
              <a:latin typeface="Futura Std Medium" panose="020B0502020204020303" pitchFamily="34" charset="0"/>
              <a:ea typeface="Cambria" panose="02040503050406030204" pitchFamily="18" charset="0"/>
            </a:rPr>
            <a:t>Suplemento Financiero</a:t>
          </a:r>
        </a:p>
      </xdr:txBody>
    </xdr:sp>
    <xdr:clientData/>
  </xdr:twoCellAnchor>
  <xdr:twoCellAnchor>
    <xdr:from>
      <xdr:col>0</xdr:col>
      <xdr:colOff>87313</xdr:colOff>
      <xdr:row>2</xdr:row>
      <xdr:rowOff>147711</xdr:rowOff>
    </xdr:from>
    <xdr:to>
      <xdr:col>2</xdr:col>
      <xdr:colOff>460375</xdr:colOff>
      <xdr:row>4</xdr:row>
      <xdr:rowOff>126700</xdr:rowOff>
    </xdr:to>
    <xdr:sp macro="" textlink="">
      <xdr:nvSpPr>
        <xdr:cNvPr id="6" name="Título 1">
          <a:extLst>
            <a:ext uri="{FF2B5EF4-FFF2-40B4-BE49-F238E27FC236}">
              <a16:creationId xmlns:a16="http://schemas.microsoft.com/office/drawing/2014/main" id="{5147EE9A-69B4-4F55-8E29-06B1684AF63E}"/>
            </a:ext>
          </a:extLst>
        </xdr:cNvPr>
        <xdr:cNvSpPr txBox="1">
          <a:spLocks/>
        </xdr:cNvSpPr>
      </xdr:nvSpPr>
      <xdr:spPr>
        <a:xfrm>
          <a:off x="87313" y="584274"/>
          <a:ext cx="1897062" cy="375864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ES" sz="1400" i="0">
              <a:solidFill>
                <a:schemeClr val="tx1">
                  <a:lumMod val="85000"/>
                  <a:lumOff val="15000"/>
                </a:schemeClr>
              </a:solidFill>
              <a:latin typeface="Futura Std Book" panose="020B0502020204020303" pitchFamily="34" charset="0"/>
              <a:ea typeface="Cambria" panose="02040503050406030204" pitchFamily="18" charset="0"/>
            </a:rPr>
            <a:t>Resultados 3M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olvencia\20.Estudio%20de%20Impacto%202011\Formularios\Hojas%20de%20trabajo\LTG_Core_Final_20130313_corregi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olvencia\29.FLAOR%202013\122011_GRyCI_ORSA_02\Herramienta%20ORS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.Index"/>
      <sheetName val="P.Readme"/>
      <sheetName val="Participant"/>
      <sheetName val="BS"/>
      <sheetName val="BS+"/>
      <sheetName val="SI"/>
      <sheetName val="Shared-2011"/>
      <sheetName val="Shared-2009"/>
      <sheetName val="Shared-2004"/>
      <sheetName val="BS-SI-Scen-0"/>
      <sheetName val="Scen-0"/>
      <sheetName val="Scen-1"/>
      <sheetName val="Scen-2"/>
      <sheetName val="Scen-3"/>
      <sheetName val="Scen-4"/>
      <sheetName val="Scen-5"/>
      <sheetName val="Scen-6"/>
      <sheetName val="Scen-7"/>
      <sheetName val="Scen-8"/>
      <sheetName val="Scen-9"/>
      <sheetName val="Scen-10"/>
      <sheetName val="Scen-11"/>
      <sheetName val="Scen-12"/>
      <sheetName val="ALM"/>
      <sheetName val="Overview"/>
      <sheetName val="Qualit"/>
    </sheetNames>
    <sheetDataSet>
      <sheetData sheetId="0" refreshError="1">
        <row r="2">
          <cell r="I2" t="str">
            <v>EIOPA LTG  20130325</v>
          </cell>
        </row>
        <row r="40">
          <cell r="F40" t="str">
            <v>.\LTG_I-adapted-(20130128).doc</v>
          </cell>
        </row>
      </sheetData>
      <sheetData sheetId="1" refreshError="1"/>
      <sheetData sheetId="2" refreshError="1">
        <row r="15">
          <cell r="G15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entificacion Usuario"/>
      <sheetName val="Pantalla_Admin"/>
      <sheetName val="INFO"/>
      <sheetName val="Descripción_Escenarios"/>
      <sheetName val="Seleccion_Riesgos"/>
      <sheetName val="Inputs_Proyección"/>
      <sheetName val="Inputs_Plantilla"/>
      <sheetName val="Resultados_Proyección"/>
      <sheetName val="Analisis_Complementario"/>
      <sheetName val="Inicio"/>
      <sheetName val="Menu_Secundario"/>
      <sheetName val="Inputs"/>
      <sheetName val="Tipo_de_Interes_Mercado"/>
      <sheetName val="Renta_Variable"/>
      <sheetName val="Inmuebles"/>
      <sheetName val="Tipo_de_Cambio"/>
      <sheetName val="Spread"/>
      <sheetName val="Concentracion"/>
      <sheetName val="Prima_Contraciclica"/>
      <sheetName val="Primas_Motor"/>
      <sheetName val="Reservas_Motor"/>
      <sheetName val="Primas_Reservas_Hogar"/>
      <sheetName val="Caidas_No_Vida"/>
      <sheetName val="CAT_No_Vida"/>
      <sheetName val="Contraparte"/>
      <sheetName val="Operacional"/>
      <sheetName val="Reputacional"/>
      <sheetName val="Regulatorio"/>
      <sheetName val="Cumplimiento_Normativo"/>
      <sheetName val="Gráfico"/>
      <sheetName val="Agregación Límites"/>
      <sheetName val="Proceso_ORSA"/>
      <sheetName val="Cover"/>
      <sheetName val="P&amp;L"/>
      <sheetName val="MI_Data"/>
      <sheetName val="SCR_Data"/>
      <sheetName val="Inversiones_Data"/>
      <sheetName val="Escenarios"/>
      <sheetName val="EBS_Escenarios"/>
      <sheetName val="Parámetros"/>
      <sheetName val="CE_Sobreescrito"/>
      <sheetName val="EBS_Base Proyección"/>
      <sheetName val="EBS_Base Proyec_Escenarios"/>
      <sheetName val="P&amp;L con scenarios"/>
      <sheetName val="MI_Data Escenarios"/>
      <sheetName val="EC-Aprox.Drivers"/>
      <sheetName val="EC-Modelos Internos"/>
      <sheetName val="EC-PyR-Hogar"/>
      <sheetName val="EC-R.Operacional"/>
      <sheetName val="EC-R.Pilar2"/>
      <sheetName val="MCR"/>
      <sheetName val="Agregación Riesgos"/>
      <sheetName val="EBS_Proyectado"/>
      <sheetName val="EBS_Proyec_Escenarios"/>
      <sheetName val="EBS_Data"/>
      <sheetName val="SCR Proyectado"/>
      <sheetName val="OF"/>
      <sheetName val="Resultados Clave"/>
      <sheetName val="Reverse Stress Test"/>
      <sheetName val="Complementario_OF"/>
      <sheetName val="Complementario_PPTT"/>
      <sheetName val="Complementario_CE"/>
      <sheetName val="Agregación Tolerancias"/>
      <sheetName val="Apetito_Riesgo"/>
      <sheetName val="Hoja_Calculos"/>
      <sheetName val="Hoja_Calculos (2)"/>
      <sheetName val="Herramienta OR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6">
          <cell r="D6">
            <v>3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BE17-CD98-4D51-B34C-F8E1A155B85C}">
  <sheetPr>
    <tabColor theme="1"/>
  </sheetPr>
  <dimension ref="H1:H18"/>
  <sheetViews>
    <sheetView showGridLines="0" tabSelected="1" zoomScale="120" zoomScaleNormal="120" workbookViewId="0"/>
  </sheetViews>
  <sheetFormatPr baseColWidth="10" defaultColWidth="11.42578125" defaultRowHeight="15.75" x14ac:dyDescent="0.3"/>
  <cols>
    <col min="1" max="6" width="11.42578125" style="55"/>
    <col min="7" max="7" width="13" style="55" customWidth="1"/>
    <col min="8" max="8" width="31.5703125" style="26" bestFit="1" customWidth="1"/>
    <col min="9" max="16384" width="11.42578125" style="55"/>
  </cols>
  <sheetData>
    <row r="1" spans="8:8" ht="18.75" customHeight="1" x14ac:dyDescent="0.3">
      <c r="H1" s="164" t="s">
        <v>37</v>
      </c>
    </row>
    <row r="2" spans="8:8" x14ac:dyDescent="0.3">
      <c r="H2" s="56"/>
    </row>
    <row r="3" spans="8:8" x14ac:dyDescent="0.3">
      <c r="H3" s="134" t="s">
        <v>27</v>
      </c>
    </row>
    <row r="4" spans="8:8" x14ac:dyDescent="0.3">
      <c r="H4" s="70" t="s">
        <v>29</v>
      </c>
    </row>
    <row r="5" spans="8:8" x14ac:dyDescent="0.3">
      <c r="H5" s="70" t="s">
        <v>34</v>
      </c>
    </row>
    <row r="6" spans="8:8" x14ac:dyDescent="0.3">
      <c r="H6" s="70" t="s">
        <v>30</v>
      </c>
    </row>
    <row r="7" spans="8:8" x14ac:dyDescent="0.3">
      <c r="H7" s="71" t="s">
        <v>20</v>
      </c>
    </row>
    <row r="8" spans="8:8" x14ac:dyDescent="0.3">
      <c r="H8" s="71" t="s">
        <v>31</v>
      </c>
    </row>
    <row r="9" spans="8:8" x14ac:dyDescent="0.3">
      <c r="H9" s="71" t="s">
        <v>32</v>
      </c>
    </row>
    <row r="10" spans="8:8" x14ac:dyDescent="0.3">
      <c r="H10" s="71" t="s">
        <v>33</v>
      </c>
    </row>
    <row r="11" spans="8:8" x14ac:dyDescent="0.3">
      <c r="H11" s="56"/>
    </row>
    <row r="12" spans="8:8" x14ac:dyDescent="0.3">
      <c r="H12" s="133" t="s">
        <v>28</v>
      </c>
    </row>
    <row r="13" spans="8:8" x14ac:dyDescent="0.3">
      <c r="H13" s="70" t="s">
        <v>29</v>
      </c>
    </row>
    <row r="14" spans="8:8" x14ac:dyDescent="0.3">
      <c r="H14" s="70" t="s">
        <v>34</v>
      </c>
    </row>
    <row r="15" spans="8:8" x14ac:dyDescent="0.3">
      <c r="H15" s="56"/>
    </row>
    <row r="16" spans="8:8" x14ac:dyDescent="0.3">
      <c r="H16" s="135" t="s">
        <v>35</v>
      </c>
    </row>
    <row r="17" spans="8:8" x14ac:dyDescent="0.3">
      <c r="H17" s="135" t="s">
        <v>36</v>
      </c>
    </row>
    <row r="18" spans="8:8" x14ac:dyDescent="0.3">
      <c r="H18" s="56"/>
    </row>
  </sheetData>
  <hyperlinks>
    <hyperlink ref="H4" location="Balance!A1" display="Balance" xr:uid="{FE2BEE06-75C7-458B-8E29-1B6FC9F4F468}"/>
    <hyperlink ref="H5" location="'P&amp;G'!A1" display="Cuenta de Resultados" xr:uid="{8C6665BE-6ED0-43FA-91AF-EBEDC746B0DA}"/>
    <hyperlink ref="H6" location="'Líneas de Negocio'!A1" display="Líneas de Negocio" xr:uid="{E70D77EB-26A1-41E1-AB47-54ADE5E3CC66}"/>
    <hyperlink ref="H8" location="Hogar!A1" display="Hogar" xr:uid="{AB5156D6-EA76-429A-BBDD-3B3C1DC45395}"/>
    <hyperlink ref="H9" location="Salud!A1" display="Salud" xr:uid="{F029259D-3D98-4A75-8E82-F7BA2FDA8A97}"/>
    <hyperlink ref="H10" location="Otros!A1" display="Otros" xr:uid="{E00B0154-20B2-4BDE-9A31-EDF9564A2FB3}"/>
    <hyperlink ref="H16" location="Inversiones!A1" display="Inversiones" xr:uid="{B737B1AA-133E-49F4-B9D1-C05F75064CE0}"/>
    <hyperlink ref="H17" location="Solvencia!A1" display="Solvencia" xr:uid="{008650B0-7C88-4A41-8497-3E1E93E0CC5E}"/>
    <hyperlink ref="H13" location="'Balance - NIIF 17&amp;9'!A1" display="Balance" xr:uid="{F9957390-777E-4EB5-9D1F-37E9E25624EB}"/>
    <hyperlink ref="H14" location="'P&amp;G - NIIF 17&amp;9'!A1" display="Cuenta de Resultados" xr:uid="{A50B7FCB-FC79-4100-94FB-5E1BB931D7EB}"/>
    <hyperlink ref="H7" location="Motor!A1" display="Motor" xr:uid="{FE9C15AC-4688-4226-814C-BEE32E925A47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D717-1246-451C-B03A-75859BCF01FE}">
  <sheetPr>
    <tabColor theme="2" tint="-0.249977111117893"/>
  </sheetPr>
  <dimension ref="B1:F22"/>
  <sheetViews>
    <sheetView showGridLines="0" zoomScaleNormal="100" workbookViewId="0"/>
  </sheetViews>
  <sheetFormatPr baseColWidth="10" defaultColWidth="11.42578125" defaultRowHeight="15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52.42578125" style="1" customWidth="1"/>
    <col min="5" max="6" width="13.28515625" style="1" customWidth="1"/>
    <col min="7" max="16384" width="11.42578125" style="1"/>
  </cols>
  <sheetData>
    <row r="1" spans="2:6" ht="16.5" customHeight="1" x14ac:dyDescent="0.25"/>
    <row r="2" spans="2:6" ht="18.75" customHeight="1" thickBot="1" x14ac:dyDescent="0.3">
      <c r="B2" s="163" t="s">
        <v>37</v>
      </c>
      <c r="D2" s="19" t="s">
        <v>55</v>
      </c>
      <c r="E2" s="19"/>
      <c r="F2" s="19"/>
    </row>
    <row r="3" spans="2:6" ht="15.75" x14ac:dyDescent="0.25">
      <c r="B3" s="26"/>
      <c r="D3" s="27"/>
      <c r="E3" s="28"/>
      <c r="F3" s="28"/>
    </row>
    <row r="4" spans="2:6" ht="16.5" thickBot="1" x14ac:dyDescent="0.3">
      <c r="B4" s="26"/>
      <c r="D4" s="33"/>
      <c r="E4" s="16" t="s">
        <v>22</v>
      </c>
      <c r="F4" s="21" t="s">
        <v>26</v>
      </c>
    </row>
    <row r="5" spans="2:6" ht="15.75" customHeight="1" x14ac:dyDescent="0.25">
      <c r="D5" s="27" t="s">
        <v>157</v>
      </c>
      <c r="E5" s="14">
        <v>224894</v>
      </c>
      <c r="F5" s="31">
        <v>234569</v>
      </c>
    </row>
    <row r="6" spans="2:6" ht="15.75" customHeight="1" x14ac:dyDescent="0.25">
      <c r="D6" s="157" t="s">
        <v>158</v>
      </c>
      <c r="E6" s="149">
        <v>-198635</v>
      </c>
      <c r="F6" s="136">
        <v>-247357</v>
      </c>
    </row>
    <row r="7" spans="2:6" ht="15.75" customHeight="1" x14ac:dyDescent="0.25">
      <c r="D7" s="158" t="s">
        <v>159</v>
      </c>
      <c r="E7" s="150">
        <f>SUM(E5:E6)</f>
        <v>26259</v>
      </c>
      <c r="F7" s="137">
        <f>SUM(F5:F6)</f>
        <v>-12788</v>
      </c>
    </row>
    <row r="8" spans="2:6" ht="15.75" customHeight="1" x14ac:dyDescent="0.25">
      <c r="D8" s="159" t="s">
        <v>160</v>
      </c>
      <c r="E8" s="151">
        <v>-2523</v>
      </c>
      <c r="F8" s="138">
        <v>-2841</v>
      </c>
    </row>
    <row r="9" spans="2:6" ht="15.75" customHeight="1" x14ac:dyDescent="0.25">
      <c r="D9" s="160" t="s">
        <v>161</v>
      </c>
      <c r="E9" s="152">
        <f>SUM(E7:E8)</f>
        <v>23736</v>
      </c>
      <c r="F9" s="139">
        <f>SUM(F7:F8)</f>
        <v>-15629</v>
      </c>
    </row>
    <row r="10" spans="2:6" ht="15.75" customHeight="1" x14ac:dyDescent="0.25">
      <c r="D10" s="161" t="s">
        <v>162</v>
      </c>
      <c r="E10" s="153">
        <v>7429</v>
      </c>
      <c r="F10" s="140">
        <v>7981</v>
      </c>
    </row>
    <row r="11" spans="2:6" ht="15.75" customHeight="1" x14ac:dyDescent="0.25">
      <c r="D11" s="157" t="s">
        <v>163</v>
      </c>
      <c r="E11" s="149">
        <v>903</v>
      </c>
      <c r="F11" s="136">
        <v>590</v>
      </c>
    </row>
    <row r="12" spans="2:6" ht="15.75" customHeight="1" x14ac:dyDescent="0.25">
      <c r="D12" s="141" t="s">
        <v>164</v>
      </c>
      <c r="E12" s="154">
        <f>E9+E10+E11</f>
        <v>32068</v>
      </c>
      <c r="F12" s="142">
        <f>F9+F10+F11</f>
        <v>-7058</v>
      </c>
    </row>
    <row r="13" spans="2:6" ht="15.75" customHeight="1" x14ac:dyDescent="0.25">
      <c r="D13" s="143" t="s">
        <v>98</v>
      </c>
      <c r="E13" s="155">
        <v>-8042</v>
      </c>
      <c r="F13" s="144">
        <v>1767</v>
      </c>
    </row>
    <row r="14" spans="2:6" ht="15.75" customHeight="1" x14ac:dyDescent="0.25">
      <c r="D14" s="145" t="s">
        <v>165</v>
      </c>
      <c r="E14" s="156">
        <f>+E12+E13</f>
        <v>24026</v>
      </c>
      <c r="F14" s="146">
        <f>+F12+F13</f>
        <v>-5291</v>
      </c>
    </row>
    <row r="15" spans="2:6" x14ac:dyDescent="0.25">
      <c r="D15" s="162"/>
      <c r="E15" s="148"/>
      <c r="F15" s="147"/>
    </row>
    <row r="16" spans="2:6" x14ac:dyDescent="0.25">
      <c r="D16" s="162"/>
      <c r="E16" s="148"/>
      <c r="F16" s="92" t="s">
        <v>51</v>
      </c>
    </row>
    <row r="17" spans="4:6" x14ac:dyDescent="0.25">
      <c r="D17" s="162"/>
      <c r="E17" s="148"/>
      <c r="F17" s="147"/>
    </row>
    <row r="18" spans="4:6" x14ac:dyDescent="0.25">
      <c r="D18" s="162"/>
      <c r="E18" s="148"/>
      <c r="F18" s="147"/>
    </row>
    <row r="19" spans="4:6" ht="15.75" thickBot="1" x14ac:dyDescent="0.3">
      <c r="D19" s="33"/>
      <c r="E19" s="16" t="s">
        <v>22</v>
      </c>
      <c r="F19" s="110" t="s">
        <v>26</v>
      </c>
    </row>
    <row r="20" spans="4:6" x14ac:dyDescent="0.25">
      <c r="D20" s="91" t="s">
        <v>65</v>
      </c>
      <c r="E20" s="49">
        <v>0.67161086717892426</v>
      </c>
      <c r="F20" s="111">
        <v>0.8424406222257208</v>
      </c>
    </row>
    <row r="21" spans="4:6" ht="15.75" thickBot="1" x14ac:dyDescent="0.3">
      <c r="D21" s="91" t="s">
        <v>66</v>
      </c>
      <c r="E21" s="49">
        <v>0.21982711306256861</v>
      </c>
      <c r="F21" s="111">
        <v>0.22590887025885253</v>
      </c>
    </row>
    <row r="22" spans="4:6" ht="15.75" thickBot="1" x14ac:dyDescent="0.3">
      <c r="D22" s="94" t="s">
        <v>60</v>
      </c>
      <c r="E22" s="51">
        <v>0.8914379802414929</v>
      </c>
      <c r="F22" s="112">
        <v>1.0683494924845733</v>
      </c>
    </row>
  </sheetData>
  <hyperlinks>
    <hyperlink ref="B2" location="'Suplemento Financiero&gt;&gt;&gt;'!A1" display="ÍNDICE" xr:uid="{303CFAF7-BDD6-4B00-9DAE-8222E128C30E}"/>
  </hyperlinks>
  <pageMargins left="0.7" right="0.7" top="0.75" bottom="0.75" header="0.3" footer="0.3"/>
  <pageSetup paperSize="9" scale="63" orientation="landscape" r:id="rId1"/>
  <ignoredErrors>
    <ignoredError sqref="E9:F9 E12:F1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FC49-0DB8-42AA-BF38-0D0DA6C7BC12}">
  <sheetPr>
    <tabColor theme="1" tint="0.249977111117893"/>
  </sheetPr>
  <dimension ref="B1:K55"/>
  <sheetViews>
    <sheetView showGridLines="0" zoomScaleNormal="100" workbookViewId="0"/>
  </sheetViews>
  <sheetFormatPr baseColWidth="10" defaultColWidth="10.85546875" defaultRowHeight="12.75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39" style="4" customWidth="1"/>
    <col min="5" max="9" width="13.5703125" style="4" customWidth="1"/>
    <col min="10" max="10" width="10.85546875" style="4" bestFit="1" customWidth="1"/>
    <col min="11" max="11" width="9.7109375" style="4" customWidth="1"/>
    <col min="12" max="16384" width="10.85546875" style="4"/>
  </cols>
  <sheetData>
    <row r="1" spans="2:11" ht="16.5" customHeight="1" x14ac:dyDescent="0.2"/>
    <row r="2" spans="2:11" ht="18.75" customHeight="1" thickBot="1" x14ac:dyDescent="0.25">
      <c r="B2" s="163" t="s">
        <v>37</v>
      </c>
      <c r="D2" s="19" t="s">
        <v>54</v>
      </c>
      <c r="E2" s="19"/>
      <c r="F2" s="19"/>
      <c r="G2" s="19"/>
      <c r="H2" s="19"/>
      <c r="I2" s="19"/>
      <c r="J2" s="19"/>
      <c r="K2" s="19"/>
    </row>
    <row r="4" spans="2:11" ht="14.25" thickBot="1" x14ac:dyDescent="0.25">
      <c r="D4" s="33"/>
      <c r="E4" s="40" t="s">
        <v>6</v>
      </c>
      <c r="F4" s="40" t="s">
        <v>3</v>
      </c>
      <c r="G4" s="40" t="s">
        <v>4</v>
      </c>
      <c r="H4" s="40" t="s">
        <v>19</v>
      </c>
      <c r="I4" s="40" t="s">
        <v>25</v>
      </c>
      <c r="J4" s="167" t="s">
        <v>26</v>
      </c>
      <c r="K4" s="168"/>
    </row>
    <row r="5" spans="2:11" ht="13.5" x14ac:dyDescent="0.2">
      <c r="D5" s="88" t="s">
        <v>101</v>
      </c>
      <c r="E5" s="75">
        <f t="shared" ref="E5:J5" si="0">E6+E13</f>
        <v>696945.09054</v>
      </c>
      <c r="F5" s="75">
        <f t="shared" si="0"/>
        <v>720797.13546999998</v>
      </c>
      <c r="G5" s="75">
        <f t="shared" si="0"/>
        <v>801209.28558999998</v>
      </c>
      <c r="H5" s="75">
        <f t="shared" si="0"/>
        <v>722005</v>
      </c>
      <c r="I5" s="75">
        <f t="shared" si="0"/>
        <v>618778</v>
      </c>
      <c r="J5" s="102">
        <f t="shared" si="0"/>
        <v>623900</v>
      </c>
      <c r="K5" s="52">
        <f t="shared" ref="K5:K21" si="1">J5/J$22</f>
        <v>0.75589974968923179</v>
      </c>
    </row>
    <row r="6" spans="2:11" ht="13.5" x14ac:dyDescent="0.2">
      <c r="D6" s="96" t="s">
        <v>102</v>
      </c>
      <c r="E6" s="75">
        <f t="shared" ref="E6:J6" si="2">SUM(E7:E12)</f>
        <v>397566.68119000003</v>
      </c>
      <c r="F6" s="75">
        <f t="shared" si="2"/>
        <v>394655.81483999995</v>
      </c>
      <c r="G6" s="75">
        <f t="shared" si="2"/>
        <v>438763.14398999995</v>
      </c>
      <c r="H6" s="75">
        <f t="shared" si="2"/>
        <v>396345</v>
      </c>
      <c r="I6" s="75">
        <f t="shared" si="2"/>
        <v>356496</v>
      </c>
      <c r="J6" s="102">
        <f t="shared" si="2"/>
        <v>326245</v>
      </c>
      <c r="K6" s="52">
        <f t="shared" si="1"/>
        <v>0.3952692961009191</v>
      </c>
    </row>
    <row r="7" spans="2:11" ht="13.5" x14ac:dyDescent="0.2">
      <c r="D7" s="97" t="s">
        <v>103</v>
      </c>
      <c r="E7" s="81">
        <v>263898.88505000004</v>
      </c>
      <c r="F7" s="81">
        <v>247394.05644000001</v>
      </c>
      <c r="G7" s="81">
        <v>216811.94155999995</v>
      </c>
      <c r="H7" s="81">
        <v>184414</v>
      </c>
      <c r="I7" s="81">
        <v>168561</v>
      </c>
      <c r="J7" s="87">
        <v>164381</v>
      </c>
      <c r="K7" s="53">
        <f t="shared" si="1"/>
        <v>0.19915941136987597</v>
      </c>
    </row>
    <row r="8" spans="2:11" ht="13.5" x14ac:dyDescent="0.2">
      <c r="D8" s="97" t="s">
        <v>104</v>
      </c>
      <c r="E8" s="81">
        <v>80202.5</v>
      </c>
      <c r="F8" s="81">
        <v>91853.940789999993</v>
      </c>
      <c r="G8" s="81">
        <v>157271.44813</v>
      </c>
      <c r="H8" s="81">
        <v>150362</v>
      </c>
      <c r="I8" s="81">
        <v>132418</v>
      </c>
      <c r="J8" s="87">
        <v>118829</v>
      </c>
      <c r="K8" s="53">
        <f t="shared" si="1"/>
        <v>0.14396988516720904</v>
      </c>
    </row>
    <row r="9" spans="2:11" ht="13.5" x14ac:dyDescent="0.2">
      <c r="D9" s="97" t="s">
        <v>5</v>
      </c>
      <c r="E9" s="81">
        <v>47496.68894</v>
      </c>
      <c r="F9" s="81">
        <v>48972.218159999997</v>
      </c>
      <c r="G9" s="81">
        <v>57670.556810000002</v>
      </c>
      <c r="H9" s="81">
        <v>47717</v>
      </c>
      <c r="I9" s="81">
        <v>44593</v>
      </c>
      <c r="J9" s="87">
        <v>13558</v>
      </c>
      <c r="K9" s="53">
        <f t="shared" si="1"/>
        <v>1.642649271724091E-2</v>
      </c>
    </row>
    <row r="10" spans="2:11" ht="13.5" x14ac:dyDescent="0.2">
      <c r="D10" s="97" t="s">
        <v>105</v>
      </c>
      <c r="E10" s="81">
        <v>4214.27945</v>
      </c>
      <c r="F10" s="81">
        <v>4648.5994499999997</v>
      </c>
      <c r="G10" s="86">
        <v>0</v>
      </c>
      <c r="H10" s="86">
        <v>0</v>
      </c>
      <c r="I10" s="86">
        <v>0</v>
      </c>
      <c r="J10" s="87">
        <v>0</v>
      </c>
      <c r="K10" s="53">
        <f t="shared" si="1"/>
        <v>0</v>
      </c>
    </row>
    <row r="11" spans="2:11" ht="13.5" x14ac:dyDescent="0.2">
      <c r="D11" s="97" t="s">
        <v>106</v>
      </c>
      <c r="E11" s="81">
        <v>1754.3277499999999</v>
      </c>
      <c r="F11" s="81">
        <v>1787</v>
      </c>
      <c r="G11" s="81">
        <v>1629.18226</v>
      </c>
      <c r="H11" s="81">
        <v>2965</v>
      </c>
      <c r="I11" s="81">
        <v>989</v>
      </c>
      <c r="J11" s="87">
        <v>984</v>
      </c>
      <c r="K11" s="53">
        <f t="shared" si="1"/>
        <v>1.1921868147046065E-3</v>
      </c>
    </row>
    <row r="12" spans="2:11" ht="13.5" x14ac:dyDescent="0.2">
      <c r="D12" s="97" t="s">
        <v>107</v>
      </c>
      <c r="E12" s="86">
        <v>0</v>
      </c>
      <c r="F12" s="86">
        <v>0</v>
      </c>
      <c r="G12" s="81">
        <v>5380.01523</v>
      </c>
      <c r="H12" s="81">
        <v>10887</v>
      </c>
      <c r="I12" s="81">
        <v>9935</v>
      </c>
      <c r="J12" s="87">
        <v>28493</v>
      </c>
      <c r="K12" s="53">
        <f t="shared" si="1"/>
        <v>3.4521320031888576E-2</v>
      </c>
    </row>
    <row r="13" spans="2:11" ht="13.5" x14ac:dyDescent="0.2">
      <c r="D13" s="96" t="s">
        <v>108</v>
      </c>
      <c r="E13" s="75">
        <f t="shared" ref="E13:J13" si="3">SUM(E14:E17)</f>
        <v>299378.40934999997</v>
      </c>
      <c r="F13" s="75">
        <f t="shared" si="3"/>
        <v>326141.32063000003</v>
      </c>
      <c r="G13" s="75">
        <f t="shared" si="3"/>
        <v>362446.14160000003</v>
      </c>
      <c r="H13" s="75">
        <f t="shared" si="3"/>
        <v>325660</v>
      </c>
      <c r="I13" s="75">
        <f t="shared" si="3"/>
        <v>262282</v>
      </c>
      <c r="J13" s="102">
        <f t="shared" si="3"/>
        <v>297655</v>
      </c>
      <c r="K13" s="52">
        <f t="shared" si="1"/>
        <v>0.36063045358831269</v>
      </c>
    </row>
    <row r="14" spans="2:11" ht="13.5" x14ac:dyDescent="0.2">
      <c r="D14" s="97" t="s">
        <v>103</v>
      </c>
      <c r="E14" s="81">
        <v>137460.92869</v>
      </c>
      <c r="F14" s="81">
        <v>169933.97990999999</v>
      </c>
      <c r="G14" s="81">
        <v>199091</v>
      </c>
      <c r="H14" s="81">
        <v>161222</v>
      </c>
      <c r="I14" s="81">
        <v>132278</v>
      </c>
      <c r="J14" s="87">
        <v>163511</v>
      </c>
      <c r="K14" s="53">
        <f t="shared" si="1"/>
        <v>0.19810534375931396</v>
      </c>
    </row>
    <row r="15" spans="2:11" ht="13.5" x14ac:dyDescent="0.2">
      <c r="D15" s="97" t="s">
        <v>109</v>
      </c>
      <c r="E15" s="81">
        <v>130336.4</v>
      </c>
      <c r="F15" s="81">
        <v>123472.05232</v>
      </c>
      <c r="G15" s="81">
        <v>137084.19157</v>
      </c>
      <c r="H15" s="81">
        <v>112100</v>
      </c>
      <c r="I15" s="81">
        <v>89057</v>
      </c>
      <c r="J15" s="87">
        <v>88596</v>
      </c>
      <c r="K15" s="53">
        <f t="shared" si="1"/>
        <v>0.10734042991419647</v>
      </c>
    </row>
    <row r="16" spans="2:11" ht="13.5" x14ac:dyDescent="0.2">
      <c r="D16" s="97" t="s">
        <v>110</v>
      </c>
      <c r="E16" s="86">
        <v>0</v>
      </c>
      <c r="F16" s="86">
        <v>0</v>
      </c>
      <c r="G16" s="86">
        <v>0</v>
      </c>
      <c r="H16" s="81">
        <v>22386</v>
      </c>
      <c r="I16" s="81">
        <v>13527</v>
      </c>
      <c r="J16" s="87">
        <v>16458</v>
      </c>
      <c r="K16" s="53">
        <f t="shared" si="1"/>
        <v>1.9940051419114244E-2</v>
      </c>
    </row>
    <row r="17" spans="4:11" ht="13.5" x14ac:dyDescent="0.2">
      <c r="D17" s="97" t="s">
        <v>111</v>
      </c>
      <c r="E17" s="81">
        <v>31581.080659999996</v>
      </c>
      <c r="F17" s="81">
        <v>32735.288400000001</v>
      </c>
      <c r="G17" s="81">
        <v>26270.950030000004</v>
      </c>
      <c r="H17" s="81">
        <v>29952</v>
      </c>
      <c r="I17" s="81">
        <v>27420</v>
      </c>
      <c r="J17" s="87">
        <v>29090</v>
      </c>
      <c r="K17" s="53">
        <f t="shared" si="1"/>
        <v>3.5244628495688018E-2</v>
      </c>
    </row>
    <row r="18" spans="4:11" ht="13.5" x14ac:dyDescent="0.2">
      <c r="D18" s="88" t="s">
        <v>112</v>
      </c>
      <c r="E18" s="75">
        <v>45094</v>
      </c>
      <c r="F18" s="75">
        <v>59231</v>
      </c>
      <c r="G18" s="75">
        <v>60536</v>
      </c>
      <c r="H18" s="75">
        <v>75237</v>
      </c>
      <c r="I18" s="75">
        <v>72074</v>
      </c>
      <c r="J18" s="102">
        <v>83062</v>
      </c>
      <c r="K18" s="52">
        <f t="shared" si="1"/>
        <v>0.10063559065344922</v>
      </c>
    </row>
    <row r="19" spans="4:11" ht="13.5" x14ac:dyDescent="0.2">
      <c r="D19" s="97" t="s">
        <v>113</v>
      </c>
      <c r="E19" s="81">
        <v>10300</v>
      </c>
      <c r="F19" s="81">
        <v>19416</v>
      </c>
      <c r="G19" s="81">
        <v>19795</v>
      </c>
      <c r="H19" s="81">
        <v>19654</v>
      </c>
      <c r="I19" s="81">
        <v>30340</v>
      </c>
      <c r="J19" s="87">
        <v>30765</v>
      </c>
      <c r="K19" s="53">
        <f t="shared" si="1"/>
        <v>3.7274011539011408E-2</v>
      </c>
    </row>
    <row r="20" spans="4:11" ht="13.5" x14ac:dyDescent="0.2">
      <c r="D20" s="88" t="s">
        <v>114</v>
      </c>
      <c r="E20" s="75">
        <v>43669</v>
      </c>
      <c r="F20" s="75">
        <v>57457</v>
      </c>
      <c r="G20" s="75">
        <v>65319</v>
      </c>
      <c r="H20" s="75">
        <v>78726</v>
      </c>
      <c r="I20" s="75">
        <v>48812</v>
      </c>
      <c r="J20" s="102">
        <v>52940</v>
      </c>
      <c r="K20" s="52">
        <f t="shared" si="1"/>
        <v>6.4140619888680764E-2</v>
      </c>
    </row>
    <row r="21" spans="4:11" ht="14.25" thickBot="1" x14ac:dyDescent="0.25">
      <c r="D21" s="88" t="s">
        <v>115</v>
      </c>
      <c r="E21" s="75">
        <v>67458</v>
      </c>
      <c r="F21" s="75">
        <v>66670</v>
      </c>
      <c r="G21" s="75">
        <v>65947.506580000001</v>
      </c>
      <c r="H21" s="75">
        <v>65457</v>
      </c>
      <c r="I21" s="75">
        <v>64676</v>
      </c>
      <c r="J21" s="80">
        <v>65472</v>
      </c>
      <c r="K21" s="52">
        <f t="shared" si="1"/>
        <v>7.9324039768638221E-2</v>
      </c>
    </row>
    <row r="22" spans="4:11" ht="13.5" x14ac:dyDescent="0.2">
      <c r="D22" s="98" t="s">
        <v>116</v>
      </c>
      <c r="E22" s="82">
        <f t="shared" ref="E22:K22" si="4">E5+E18+E20+E21</f>
        <v>853166.09054</v>
      </c>
      <c r="F22" s="82">
        <f t="shared" si="4"/>
        <v>904155.13546999998</v>
      </c>
      <c r="G22" s="82">
        <f t="shared" si="4"/>
        <v>993011.79217000003</v>
      </c>
      <c r="H22" s="82">
        <f>H5+H18+H20+H21</f>
        <v>941425</v>
      </c>
      <c r="I22" s="82">
        <f t="shared" ref="I22:J22" si="5">I5+I18+I20+I21</f>
        <v>804340</v>
      </c>
      <c r="J22" s="83">
        <f t="shared" si="5"/>
        <v>825374</v>
      </c>
      <c r="K22" s="72">
        <f t="shared" si="4"/>
        <v>1</v>
      </c>
    </row>
    <row r="23" spans="4:11" ht="14.25" thickBot="1" x14ac:dyDescent="0.25">
      <c r="D23" s="99" t="s">
        <v>117</v>
      </c>
      <c r="E23" s="75">
        <v>166776</v>
      </c>
      <c r="F23" s="75">
        <v>144937</v>
      </c>
      <c r="G23" s="75">
        <v>162500</v>
      </c>
      <c r="H23" s="75">
        <v>115788</v>
      </c>
      <c r="I23" s="75">
        <v>51661</v>
      </c>
      <c r="J23" s="80">
        <v>47018</v>
      </c>
      <c r="K23" s="73" t="s">
        <v>7</v>
      </c>
    </row>
    <row r="24" spans="4:11" ht="14.25" thickBot="1" x14ac:dyDescent="0.25">
      <c r="D24" s="90" t="s">
        <v>1</v>
      </c>
      <c r="E24" s="84">
        <f t="shared" ref="E24:H24" si="6">E22+E23</f>
        <v>1019942.09054</v>
      </c>
      <c r="F24" s="84">
        <f t="shared" si="6"/>
        <v>1049092.1354700001</v>
      </c>
      <c r="G24" s="84">
        <f t="shared" si="6"/>
        <v>1155511.79217</v>
      </c>
      <c r="H24" s="84">
        <f t="shared" si="6"/>
        <v>1057213</v>
      </c>
      <c r="I24" s="84">
        <f>I22+I23</f>
        <v>856001</v>
      </c>
      <c r="J24" s="85">
        <f>J22+J23</f>
        <v>872392</v>
      </c>
      <c r="K24" s="54" t="s">
        <v>7</v>
      </c>
    </row>
    <row r="25" spans="4:11" ht="9" customHeight="1" x14ac:dyDescent="0.2">
      <c r="D25" s="27"/>
      <c r="E25" s="35"/>
      <c r="F25" s="35"/>
      <c r="G25" s="35"/>
      <c r="H25" s="35"/>
      <c r="I25" s="35"/>
      <c r="J25" s="166"/>
      <c r="K25" s="166"/>
    </row>
    <row r="26" spans="4:11" ht="13.5" x14ac:dyDescent="0.2">
      <c r="D26" s="29"/>
      <c r="E26" s="29"/>
      <c r="F26" s="29"/>
      <c r="G26" s="29"/>
      <c r="H26" s="29"/>
      <c r="I26" s="29"/>
      <c r="J26" s="35"/>
      <c r="K26" s="92" t="s">
        <v>51</v>
      </c>
    </row>
    <row r="29" spans="4:11" ht="14.25" thickBot="1" x14ac:dyDescent="0.25">
      <c r="D29" s="57" t="s">
        <v>101</v>
      </c>
      <c r="E29" s="40" t="s">
        <v>6</v>
      </c>
      <c r="F29" s="40" t="s">
        <v>3</v>
      </c>
      <c r="G29" s="40" t="s">
        <v>4</v>
      </c>
      <c r="H29" s="40" t="s">
        <v>19</v>
      </c>
      <c r="I29" s="40" t="s">
        <v>25</v>
      </c>
      <c r="J29" s="167" t="s">
        <v>26</v>
      </c>
      <c r="K29" s="168"/>
    </row>
    <row r="30" spans="4:11" ht="13.5" x14ac:dyDescent="0.2">
      <c r="D30" s="100" t="s">
        <v>8</v>
      </c>
      <c r="E30" s="81">
        <v>1754.3277499999999</v>
      </c>
      <c r="F30" s="81">
        <v>1787.1552300000001</v>
      </c>
      <c r="G30" s="81">
        <v>3072.0408299999999</v>
      </c>
      <c r="H30" s="81">
        <v>6342</v>
      </c>
      <c r="I30" s="81">
        <v>13304</v>
      </c>
      <c r="J30" s="87">
        <v>15437</v>
      </c>
      <c r="K30" s="53">
        <f>J30/$J$36</f>
        <v>2.4742747235133835E-2</v>
      </c>
    </row>
    <row r="31" spans="4:11" ht="13.5" x14ac:dyDescent="0.2">
      <c r="D31" s="100" t="s">
        <v>9</v>
      </c>
      <c r="E31" s="81">
        <v>11947.257000000001</v>
      </c>
      <c r="F31" s="81">
        <v>3784.2071800000003</v>
      </c>
      <c r="G31" s="81">
        <v>7381.8541700000005</v>
      </c>
      <c r="H31" s="81">
        <v>10093</v>
      </c>
      <c r="I31" s="81">
        <v>11264</v>
      </c>
      <c r="J31" s="87">
        <v>29854</v>
      </c>
      <c r="K31" s="53">
        <f t="shared" ref="K31:K35" si="7">J31/$J$36</f>
        <v>4.7850617086071488E-2</v>
      </c>
    </row>
    <row r="32" spans="4:11" ht="13.5" x14ac:dyDescent="0.2">
      <c r="D32" s="100" t="s">
        <v>10</v>
      </c>
      <c r="E32" s="81">
        <v>317688.88505000004</v>
      </c>
      <c r="F32" s="81">
        <v>301027.18516999995</v>
      </c>
      <c r="G32" s="81">
        <v>353119.78262999991</v>
      </c>
      <c r="H32" s="81">
        <v>296736</v>
      </c>
      <c r="I32" s="81">
        <v>271885</v>
      </c>
      <c r="J32" s="87">
        <v>295296</v>
      </c>
      <c r="K32" s="53">
        <f t="shared" si="7"/>
        <v>0.47330661965058501</v>
      </c>
    </row>
    <row r="33" spans="4:11" ht="13.5" x14ac:dyDescent="0.2">
      <c r="D33" s="100" t="s">
        <v>11</v>
      </c>
      <c r="E33" s="81">
        <v>259911.57834000001</v>
      </c>
      <c r="F33" s="81">
        <v>354378.54846999998</v>
      </c>
      <c r="G33" s="81">
        <v>380743.04191000003</v>
      </c>
      <c r="H33" s="81">
        <v>363123</v>
      </c>
      <c r="I33" s="81">
        <v>301197</v>
      </c>
      <c r="J33" s="87">
        <v>266787</v>
      </c>
      <c r="K33" s="53">
        <f t="shared" si="7"/>
        <v>0.42761179676230165</v>
      </c>
    </row>
    <row r="34" spans="4:11" ht="13.5" x14ac:dyDescent="0.2">
      <c r="D34" s="100" t="s">
        <v>118</v>
      </c>
      <c r="E34" s="81">
        <v>88362</v>
      </c>
      <c r="F34" s="81">
        <v>21373.307949999999</v>
      </c>
      <c r="G34" s="81">
        <v>26532.45349</v>
      </c>
      <c r="H34" s="81">
        <v>27990</v>
      </c>
      <c r="I34" s="81">
        <v>10359</v>
      </c>
      <c r="J34" s="87">
        <v>10522</v>
      </c>
      <c r="K34" s="53">
        <f t="shared" si="7"/>
        <v>1.6864882192659081E-2</v>
      </c>
    </row>
    <row r="35" spans="4:11" ht="14.25" thickBot="1" x14ac:dyDescent="0.25">
      <c r="D35" s="58" t="s">
        <v>119</v>
      </c>
      <c r="E35" s="81">
        <v>17281</v>
      </c>
      <c r="F35" s="81">
        <v>38446.88670000001</v>
      </c>
      <c r="G35" s="81">
        <v>30360</v>
      </c>
      <c r="H35" s="81">
        <v>17721</v>
      </c>
      <c r="I35" s="81">
        <v>10769</v>
      </c>
      <c r="J35" s="87">
        <v>6004</v>
      </c>
      <c r="K35" s="53">
        <f t="shared" si="7"/>
        <v>9.6233370732489183E-3</v>
      </c>
    </row>
    <row r="36" spans="4:11" ht="14.25" thickBot="1" x14ac:dyDescent="0.25">
      <c r="D36" s="90" t="s">
        <v>1</v>
      </c>
      <c r="E36" s="84">
        <f>SUM(E30:E35)</f>
        <v>696945.04814000009</v>
      </c>
      <c r="F36" s="84">
        <f t="shared" ref="F36:H36" si="8">SUM(F30:F35)</f>
        <v>720797.29070000001</v>
      </c>
      <c r="G36" s="84">
        <f t="shared" si="8"/>
        <v>801209.17302999995</v>
      </c>
      <c r="H36" s="84">
        <f t="shared" si="8"/>
        <v>722005</v>
      </c>
      <c r="I36" s="84">
        <f>SUM(I30:I35)</f>
        <v>618778</v>
      </c>
      <c r="J36" s="85">
        <f>SUM(J30:J35)</f>
        <v>623900</v>
      </c>
      <c r="K36" s="54">
        <f>SUM(K30:K35)</f>
        <v>0.99999999999999989</v>
      </c>
    </row>
    <row r="37" spans="4:11" ht="9" customHeight="1" x14ac:dyDescent="0.2">
      <c r="D37" s="27"/>
      <c r="E37" s="35"/>
      <c r="F37" s="35"/>
      <c r="G37" s="35"/>
      <c r="H37" s="35"/>
      <c r="I37" s="35"/>
      <c r="J37" s="166"/>
      <c r="K37" s="166"/>
    </row>
    <row r="38" spans="4:11" ht="13.5" x14ac:dyDescent="0.2">
      <c r="K38" s="92" t="s">
        <v>51</v>
      </c>
    </row>
    <row r="41" spans="4:11" ht="14.25" thickBot="1" x14ac:dyDescent="0.25">
      <c r="D41" s="57" t="s">
        <v>112</v>
      </c>
      <c r="E41" s="40" t="s">
        <v>6</v>
      </c>
      <c r="F41" s="40" t="s">
        <v>3</v>
      </c>
      <c r="G41" s="40" t="s">
        <v>4</v>
      </c>
      <c r="H41" s="40" t="s">
        <v>19</v>
      </c>
      <c r="I41" s="40" t="s">
        <v>25</v>
      </c>
      <c r="J41" s="167" t="s">
        <v>26</v>
      </c>
      <c r="K41" s="168"/>
    </row>
    <row r="42" spans="4:11" ht="13.5" x14ac:dyDescent="0.2">
      <c r="D42" s="100" t="s">
        <v>120</v>
      </c>
      <c r="E42" s="81">
        <v>10300</v>
      </c>
      <c r="F42" s="81">
        <v>32761.487000000001</v>
      </c>
      <c r="G42" s="81">
        <v>20803</v>
      </c>
      <c r="H42" s="81">
        <v>43352</v>
      </c>
      <c r="I42" s="81">
        <v>46527</v>
      </c>
      <c r="J42" s="87">
        <v>46951.969469999989</v>
      </c>
      <c r="K42" s="53">
        <f>J42/$J$53</f>
        <v>0.56526393657697127</v>
      </c>
    </row>
    <row r="43" spans="4:11" ht="13.5" x14ac:dyDescent="0.2">
      <c r="D43" s="101" t="s">
        <v>113</v>
      </c>
      <c r="E43" s="81">
        <v>10300</v>
      </c>
      <c r="F43" s="81">
        <v>19416.487000000001</v>
      </c>
      <c r="G43" s="81">
        <v>19795</v>
      </c>
      <c r="H43" s="81">
        <v>19654</v>
      </c>
      <c r="I43" s="81">
        <v>30340</v>
      </c>
      <c r="J43" s="87">
        <v>30764.986149999997</v>
      </c>
      <c r="K43" s="53">
        <f t="shared" ref="K43:K52" si="9">J43/$J$53</f>
        <v>0.37038568086044982</v>
      </c>
    </row>
    <row r="44" spans="4:11" ht="13.5" x14ac:dyDescent="0.2">
      <c r="D44" s="100" t="s">
        <v>121</v>
      </c>
      <c r="E44" s="81">
        <v>9142</v>
      </c>
      <c r="F44" s="81">
        <v>5850.9550600000002</v>
      </c>
      <c r="G44" s="81">
        <v>18320</v>
      </c>
      <c r="H44" s="81">
        <v>5778</v>
      </c>
      <c r="I44" s="81">
        <v>5355</v>
      </c>
      <c r="J44" s="87">
        <v>10152.318439999999</v>
      </c>
      <c r="K44" s="53">
        <f t="shared" si="9"/>
        <v>0.12222574583253955</v>
      </c>
    </row>
    <row r="45" spans="4:11" ht="13.5" x14ac:dyDescent="0.2">
      <c r="D45" s="100" t="s">
        <v>122</v>
      </c>
      <c r="E45" s="81">
        <v>5385</v>
      </c>
      <c r="F45" s="81">
        <v>5567.7613636297901</v>
      </c>
      <c r="G45" s="81">
        <v>5304</v>
      </c>
      <c r="H45" s="81">
        <v>5461</v>
      </c>
      <c r="I45" s="81">
        <v>3350</v>
      </c>
      <c r="J45" s="87">
        <v>5382.7955999999995</v>
      </c>
      <c r="K45" s="53">
        <f t="shared" si="9"/>
        <v>6.4804528223024516E-2</v>
      </c>
    </row>
    <row r="46" spans="4:11" ht="13.5" x14ac:dyDescent="0.2">
      <c r="D46" s="100" t="s">
        <v>12</v>
      </c>
      <c r="E46" s="81">
        <v>4490</v>
      </c>
      <c r="F46" s="81">
        <v>4964.6156432375501</v>
      </c>
      <c r="G46" s="81">
        <v>6155</v>
      </c>
      <c r="H46" s="81">
        <v>10515</v>
      </c>
      <c r="I46" s="81">
        <v>6466</v>
      </c>
      <c r="J46" s="87">
        <v>5156.12691</v>
      </c>
      <c r="K46" s="53">
        <f t="shared" si="9"/>
        <v>6.2075619564783628E-2</v>
      </c>
    </row>
    <row r="47" spans="4:11" ht="13.5" x14ac:dyDescent="0.2">
      <c r="D47" s="100" t="s">
        <v>123</v>
      </c>
      <c r="E47" s="81">
        <v>1336</v>
      </c>
      <c r="F47" s="81">
        <v>3889.5391</v>
      </c>
      <c r="G47" s="81">
        <v>1302</v>
      </c>
      <c r="H47" s="81">
        <v>1410</v>
      </c>
      <c r="I47" s="81">
        <v>2716</v>
      </c>
      <c r="J47" s="87">
        <v>3093.9869600000002</v>
      </c>
      <c r="K47" s="53">
        <f t="shared" si="9"/>
        <v>3.7249113689360576E-2</v>
      </c>
    </row>
    <row r="48" spans="4:11" ht="13.5" x14ac:dyDescent="0.2">
      <c r="D48" s="100" t="s">
        <v>124</v>
      </c>
      <c r="E48" s="81">
        <v>4544</v>
      </c>
      <c r="F48" s="81">
        <v>3702.924</v>
      </c>
      <c r="G48" s="81">
        <v>3394</v>
      </c>
      <c r="H48" s="86">
        <v>0</v>
      </c>
      <c r="I48" s="86">
        <v>0</v>
      </c>
      <c r="J48" s="87">
        <v>0</v>
      </c>
      <c r="K48" s="53">
        <f t="shared" si="9"/>
        <v>0</v>
      </c>
    </row>
    <row r="49" spans="4:11" ht="13.5" x14ac:dyDescent="0.2">
      <c r="D49" s="100" t="s">
        <v>125</v>
      </c>
      <c r="E49" s="81">
        <v>3986</v>
      </c>
      <c r="F49" s="81">
        <v>1169.0634</v>
      </c>
      <c r="G49" s="86">
        <v>0</v>
      </c>
      <c r="H49" s="86">
        <v>1454</v>
      </c>
      <c r="I49" s="86">
        <v>1833</v>
      </c>
      <c r="J49" s="87">
        <v>2019.5642800000001</v>
      </c>
      <c r="K49" s="53">
        <f t="shared" si="9"/>
        <v>2.431392906345398E-2</v>
      </c>
    </row>
    <row r="50" spans="4:11" ht="13.5" x14ac:dyDescent="0.2">
      <c r="D50" s="100" t="s">
        <v>126</v>
      </c>
      <c r="E50" s="81">
        <v>4202</v>
      </c>
      <c r="F50" s="81">
        <v>1159.7223603899999</v>
      </c>
      <c r="G50" s="81">
        <v>3612</v>
      </c>
      <c r="H50" s="81">
        <v>5293</v>
      </c>
      <c r="I50" s="81">
        <v>3084</v>
      </c>
      <c r="J50" s="87">
        <v>6236.8517999999995</v>
      </c>
      <c r="K50" s="53">
        <f t="shared" si="9"/>
        <v>7.5086677728561951E-2</v>
      </c>
    </row>
    <row r="51" spans="4:11" ht="13.5" x14ac:dyDescent="0.2">
      <c r="D51" s="100" t="s">
        <v>127</v>
      </c>
      <c r="E51" s="81">
        <v>1709</v>
      </c>
      <c r="F51" s="81">
        <v>164.73599999999999</v>
      </c>
      <c r="G51" s="81">
        <v>1137</v>
      </c>
      <c r="H51" s="81">
        <v>1333</v>
      </c>
      <c r="I51" s="81">
        <v>2223</v>
      </c>
      <c r="J51" s="87">
        <v>2561.145</v>
      </c>
      <c r="K51" s="53">
        <f t="shared" si="9"/>
        <v>3.083412519616352E-2</v>
      </c>
    </row>
    <row r="52" spans="4:11" ht="14.25" thickBot="1" x14ac:dyDescent="0.25">
      <c r="D52" s="58" t="s">
        <v>128</v>
      </c>
      <c r="E52" s="86">
        <v>0</v>
      </c>
      <c r="F52" s="86">
        <v>0</v>
      </c>
      <c r="G52" s="81">
        <v>509</v>
      </c>
      <c r="H52" s="81">
        <v>641</v>
      </c>
      <c r="I52" s="81">
        <v>520</v>
      </c>
      <c r="J52" s="87">
        <v>1507.2705000000001</v>
      </c>
      <c r="K52" s="53">
        <f t="shared" si="9"/>
        <v>1.81463241251409E-2</v>
      </c>
    </row>
    <row r="53" spans="4:11" ht="14.25" thickBot="1" x14ac:dyDescent="0.25">
      <c r="D53" s="90" t="s">
        <v>1</v>
      </c>
      <c r="E53" s="84">
        <f t="shared" ref="E53" si="10">SUM(E42,E44:E52)</f>
        <v>45094</v>
      </c>
      <c r="F53" s="84">
        <f>SUM(F42,F44:F52)</f>
        <v>59230.803927257337</v>
      </c>
      <c r="G53" s="84">
        <f t="shared" ref="G53:K53" si="11">SUM(G42,G44:G52)</f>
        <v>60536</v>
      </c>
      <c r="H53" s="84">
        <f t="shared" si="11"/>
        <v>75237</v>
      </c>
      <c r="I53" s="84">
        <f t="shared" ref="I53" si="12">SUM(I42,I44:I52)</f>
        <v>72074</v>
      </c>
      <c r="J53" s="85">
        <f t="shared" si="11"/>
        <v>83062.028959999996</v>
      </c>
      <c r="K53" s="54">
        <f t="shared" si="11"/>
        <v>0.99999999999999978</v>
      </c>
    </row>
    <row r="54" spans="4:11" ht="9" customHeight="1" x14ac:dyDescent="0.2">
      <c r="D54" s="27"/>
      <c r="E54" s="35"/>
      <c r="F54" s="35"/>
      <c r="G54" s="35"/>
      <c r="H54" s="35"/>
      <c r="I54" s="35"/>
      <c r="J54" s="166"/>
      <c r="K54" s="166"/>
    </row>
    <row r="55" spans="4:11" ht="13.5" x14ac:dyDescent="0.2">
      <c r="K55" s="92" t="s">
        <v>51</v>
      </c>
    </row>
  </sheetData>
  <mergeCells count="6">
    <mergeCell ref="J54:K54"/>
    <mergeCell ref="J25:K25"/>
    <mergeCell ref="J4:K4"/>
    <mergeCell ref="J29:K29"/>
    <mergeCell ref="J41:K41"/>
    <mergeCell ref="J37:K37"/>
  </mergeCells>
  <hyperlinks>
    <hyperlink ref="B2" location="'Suplemento Financiero&gt;&gt;&gt;'!A1" display="ÍNDICE" xr:uid="{35FAA516-D55C-4D8A-9C1D-735EBBACCE9E}"/>
  </hyperlinks>
  <pageMargins left="0.7" right="0.7" top="0.75" bottom="0.75" header="0.3" footer="0.3"/>
  <pageSetup paperSize="9" scale="79" orientation="portrait" r:id="rId1"/>
  <ignoredErrors>
    <ignoredError sqref="I13:J13 E13:H13" formulaRange="1"/>
    <ignoredError sqref="K13" evalError="1" formulaRange="1"/>
    <ignoredError sqref="K5:K12 K14:K22 J37:K37 K30 K31 K32 K33 K34 K35 J53:K53 K42 K43 K44 K45 K46 K47 K48 K49 K50 K51 K52 K41 K36 J39:K40 J38" evalErro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628-C457-4EAE-A070-5963BD47D68E}">
  <sheetPr>
    <tabColor theme="1" tint="0.249977111117893"/>
  </sheetPr>
  <dimension ref="B1:J30"/>
  <sheetViews>
    <sheetView showGridLines="0" zoomScaleNormal="100" workbookViewId="0"/>
  </sheetViews>
  <sheetFormatPr baseColWidth="10" defaultColWidth="11.42578125" defaultRowHeight="13.5" x14ac:dyDescent="0.25"/>
  <cols>
    <col min="1" max="1" width="1.5703125" style="59" customWidth="1"/>
    <col min="2" max="2" width="10.7109375" style="59" customWidth="1"/>
    <col min="3" max="3" width="1.5703125" style="59" customWidth="1"/>
    <col min="4" max="4" width="44.85546875" style="59" bestFit="1" customWidth="1"/>
    <col min="5" max="10" width="13.42578125" style="59" customWidth="1"/>
    <col min="11" max="16384" width="11.42578125" style="59"/>
  </cols>
  <sheetData>
    <row r="1" spans="2:10" ht="16.5" customHeight="1" x14ac:dyDescent="0.25"/>
    <row r="2" spans="2:10" ht="18.75" customHeight="1" thickBot="1" x14ac:dyDescent="0.3">
      <c r="B2" s="163" t="s">
        <v>37</v>
      </c>
      <c r="D2" s="19" t="s">
        <v>53</v>
      </c>
      <c r="E2" s="19"/>
      <c r="F2" s="19"/>
      <c r="G2" s="19"/>
      <c r="H2" s="19"/>
      <c r="I2" s="19"/>
      <c r="J2" s="19"/>
    </row>
    <row r="4" spans="2:10" ht="16.5" customHeight="1" thickBot="1" x14ac:dyDescent="0.3">
      <c r="D4" s="15"/>
      <c r="E4" s="16" t="s">
        <v>6</v>
      </c>
      <c r="F4" s="16" t="s">
        <v>3</v>
      </c>
      <c r="G4" s="16" t="s">
        <v>4</v>
      </c>
      <c r="H4" s="16" t="s">
        <v>19</v>
      </c>
      <c r="I4" s="16" t="s">
        <v>25</v>
      </c>
      <c r="J4" s="21" t="s">
        <v>26</v>
      </c>
    </row>
    <row r="5" spans="2:10" x14ac:dyDescent="0.25">
      <c r="D5" s="60" t="s">
        <v>129</v>
      </c>
      <c r="E5" s="61">
        <v>167878</v>
      </c>
      <c r="F5" s="61">
        <v>161007</v>
      </c>
      <c r="G5" s="61">
        <v>161004</v>
      </c>
      <c r="H5" s="61">
        <v>171657</v>
      </c>
      <c r="I5" s="61">
        <v>172651</v>
      </c>
      <c r="J5" s="32">
        <v>175541</v>
      </c>
    </row>
    <row r="6" spans="2:10" x14ac:dyDescent="0.25">
      <c r="D6" s="60" t="s">
        <v>130</v>
      </c>
      <c r="E6" s="61">
        <v>94357</v>
      </c>
      <c r="F6" s="61">
        <v>104548</v>
      </c>
      <c r="G6" s="61">
        <v>113510</v>
      </c>
      <c r="H6" s="61">
        <v>132271</v>
      </c>
      <c r="I6" s="61">
        <v>91899</v>
      </c>
      <c r="J6" s="32">
        <v>99098</v>
      </c>
    </row>
    <row r="7" spans="2:10" x14ac:dyDescent="0.25">
      <c r="D7" s="60" t="s">
        <v>131</v>
      </c>
      <c r="E7" s="61">
        <v>15833</v>
      </c>
      <c r="F7" s="61">
        <v>15886</v>
      </c>
      <c r="G7" s="61">
        <v>15291</v>
      </c>
      <c r="H7" s="61">
        <v>13086</v>
      </c>
      <c r="I7" s="61">
        <v>7027</v>
      </c>
      <c r="J7" s="32">
        <v>6860</v>
      </c>
    </row>
    <row r="8" spans="2:10" x14ac:dyDescent="0.25">
      <c r="D8" s="60" t="s">
        <v>132</v>
      </c>
      <c r="E8" s="61">
        <v>1436</v>
      </c>
      <c r="F8" s="61">
        <v>2233</v>
      </c>
      <c r="G8" s="61">
        <v>2778</v>
      </c>
      <c r="H8" s="61">
        <v>3134</v>
      </c>
      <c r="I8" s="61">
        <v>3142</v>
      </c>
      <c r="J8" s="32">
        <v>3218</v>
      </c>
    </row>
    <row r="9" spans="2:10" x14ac:dyDescent="0.25">
      <c r="D9" s="60" t="s">
        <v>133</v>
      </c>
      <c r="E9" s="62">
        <v>-58725</v>
      </c>
      <c r="F9" s="62">
        <v>-62201</v>
      </c>
      <c r="G9" s="62">
        <v>-65218</v>
      </c>
      <c r="H9" s="62">
        <f>H10-SUM(H5:H8)</f>
        <v>-71482</v>
      </c>
      <c r="I9" s="62">
        <f>I10-SUM(I5:I8)</f>
        <v>-55772</v>
      </c>
      <c r="J9" s="32">
        <f>J10-SUM(J5:J8)</f>
        <v>-58653</v>
      </c>
    </row>
    <row r="10" spans="2:10" x14ac:dyDescent="0.25">
      <c r="D10" s="63" t="s">
        <v>134</v>
      </c>
      <c r="E10" s="64">
        <v>220779</v>
      </c>
      <c r="F10" s="64">
        <v>221473</v>
      </c>
      <c r="G10" s="64">
        <v>227365</v>
      </c>
      <c r="H10" s="64">
        <v>248666</v>
      </c>
      <c r="I10" s="64">
        <v>218947</v>
      </c>
      <c r="J10" s="31">
        <v>226064</v>
      </c>
    </row>
    <row r="11" spans="2:10" x14ac:dyDescent="0.25">
      <c r="D11" s="60" t="s">
        <v>135</v>
      </c>
      <c r="E11" s="61">
        <v>24796</v>
      </c>
      <c r="F11" s="61">
        <v>26092</v>
      </c>
      <c r="G11" s="61">
        <v>26935</v>
      </c>
      <c r="H11" s="61">
        <v>27166</v>
      </c>
      <c r="I11" s="61">
        <v>27795</v>
      </c>
      <c r="J11" s="32">
        <v>28087</v>
      </c>
    </row>
    <row r="12" spans="2:10" ht="14.25" thickBot="1" x14ac:dyDescent="0.3">
      <c r="D12" s="60" t="s">
        <v>136</v>
      </c>
      <c r="E12" s="62">
        <v>-61394</v>
      </c>
      <c r="F12" s="62">
        <v>-61891</v>
      </c>
      <c r="G12" s="62">
        <v>-63575</v>
      </c>
      <c r="H12" s="62">
        <v>-68958</v>
      </c>
      <c r="I12" s="62">
        <v>-61686</v>
      </c>
      <c r="J12" s="32">
        <v>-63538</v>
      </c>
    </row>
    <row r="13" spans="2:10" ht="14.25" thickBot="1" x14ac:dyDescent="0.3">
      <c r="D13" s="90" t="s">
        <v>137</v>
      </c>
      <c r="E13" s="17">
        <v>184181</v>
      </c>
      <c r="F13" s="17">
        <v>185674</v>
      </c>
      <c r="G13" s="17">
        <v>190725</v>
      </c>
      <c r="H13" s="17">
        <v>206874</v>
      </c>
      <c r="I13" s="17">
        <v>185057</v>
      </c>
      <c r="J13" s="24">
        <v>190613</v>
      </c>
    </row>
    <row r="14" spans="2:10" ht="9" customHeight="1" x14ac:dyDescent="0.25">
      <c r="D14" s="27"/>
      <c r="E14" s="35"/>
      <c r="F14" s="35"/>
      <c r="G14" s="35"/>
      <c r="H14" s="35"/>
      <c r="I14" s="35"/>
      <c r="J14" s="60"/>
    </row>
    <row r="15" spans="2:10" x14ac:dyDescent="0.25">
      <c r="D15" s="60"/>
      <c r="E15" s="60"/>
      <c r="F15" s="60"/>
      <c r="G15" s="60"/>
      <c r="J15" s="92" t="s">
        <v>51</v>
      </c>
    </row>
    <row r="16" spans="2:10" x14ac:dyDescent="0.25">
      <c r="D16" s="60"/>
      <c r="E16" s="60"/>
      <c r="F16" s="60"/>
      <c r="G16" s="60"/>
      <c r="H16" s="60"/>
      <c r="I16" s="60"/>
      <c r="J16" s="60"/>
    </row>
    <row r="17" spans="4:10" x14ac:dyDescent="0.25">
      <c r="D17" s="60"/>
      <c r="E17" s="60"/>
      <c r="F17" s="60"/>
      <c r="G17" s="60"/>
      <c r="H17" s="60"/>
      <c r="I17" s="60"/>
      <c r="J17" s="60"/>
    </row>
    <row r="18" spans="4:10" ht="14.25" thickBot="1" x14ac:dyDescent="0.3">
      <c r="D18" s="15"/>
      <c r="E18" s="16" t="s">
        <v>6</v>
      </c>
      <c r="F18" s="16" t="s">
        <v>3</v>
      </c>
      <c r="G18" s="16" t="s">
        <v>4</v>
      </c>
      <c r="H18" s="16" t="s">
        <v>19</v>
      </c>
      <c r="I18" s="16" t="s">
        <v>25</v>
      </c>
      <c r="J18" s="21" t="s">
        <v>26</v>
      </c>
    </row>
    <row r="19" spans="4:10" x14ac:dyDescent="0.25">
      <c r="D19" s="63" t="s">
        <v>138</v>
      </c>
      <c r="E19" s="64">
        <v>82881</v>
      </c>
      <c r="F19" s="64">
        <v>83553</v>
      </c>
      <c r="G19" s="64">
        <v>85826</v>
      </c>
      <c r="H19" s="64">
        <v>93093</v>
      </c>
      <c r="I19" s="64">
        <v>83275</v>
      </c>
      <c r="J19" s="31">
        <v>85776</v>
      </c>
    </row>
    <row r="20" spans="4:10" x14ac:dyDescent="0.25">
      <c r="D20" s="63" t="s">
        <v>137</v>
      </c>
      <c r="E20" s="64">
        <f t="shared" ref="E20" si="0">+E13</f>
        <v>184181</v>
      </c>
      <c r="F20" s="64">
        <f>+F13</f>
        <v>185674</v>
      </c>
      <c r="G20" s="64">
        <f>+G13</f>
        <v>190725</v>
      </c>
      <c r="H20" s="64">
        <f>+H13</f>
        <v>206874</v>
      </c>
      <c r="I20" s="64">
        <f>+I13</f>
        <v>185057</v>
      </c>
      <c r="J20" s="103">
        <f>+J13</f>
        <v>190613</v>
      </c>
    </row>
    <row r="21" spans="4:10" x14ac:dyDescent="0.25">
      <c r="D21" s="63"/>
      <c r="E21" s="64"/>
      <c r="F21" s="64"/>
      <c r="G21" s="64"/>
      <c r="H21" s="64"/>
      <c r="I21" s="64"/>
      <c r="J21" s="31"/>
    </row>
    <row r="22" spans="4:10" x14ac:dyDescent="0.25">
      <c r="D22" s="63" t="s">
        <v>139</v>
      </c>
      <c r="E22" s="64">
        <v>385270.20790162636</v>
      </c>
      <c r="F22" s="64">
        <v>391162.2635219369</v>
      </c>
      <c r="G22" s="64">
        <f>526011.113113886-120000</f>
        <v>406011.11311388598</v>
      </c>
      <c r="H22" s="64">
        <v>384082.53742492298</v>
      </c>
      <c r="I22" s="64">
        <v>347530.79890801519</v>
      </c>
      <c r="J22" s="31">
        <v>348616.44986258855</v>
      </c>
    </row>
    <row r="23" spans="4:10" x14ac:dyDescent="0.25">
      <c r="D23" s="67" t="s">
        <v>140</v>
      </c>
      <c r="E23" s="68">
        <v>1</v>
      </c>
      <c r="F23" s="68">
        <v>1</v>
      </c>
      <c r="G23" s="68">
        <v>1</v>
      </c>
      <c r="H23" s="68">
        <v>1</v>
      </c>
      <c r="I23" s="68">
        <v>1</v>
      </c>
      <c r="J23" s="104">
        <v>1</v>
      </c>
    </row>
    <row r="24" spans="4:10" ht="14.25" thickBot="1" x14ac:dyDescent="0.3">
      <c r="D24" s="63"/>
      <c r="E24" s="64"/>
      <c r="F24" s="64"/>
      <c r="G24" s="64"/>
      <c r="H24" s="64"/>
      <c r="I24" s="64"/>
      <c r="J24" s="31"/>
    </row>
    <row r="25" spans="4:10" x14ac:dyDescent="0.25">
      <c r="D25" s="98" t="s">
        <v>141</v>
      </c>
      <c r="E25" s="65">
        <f t="shared" ref="E25" si="1">+E22/E19</f>
        <v>4.6484744139383736</v>
      </c>
      <c r="F25" s="65">
        <f>+F22/F19</f>
        <v>4.6816064476671917</v>
      </c>
      <c r="G25" s="65">
        <f>+G22/G19</f>
        <v>4.7306307309426741</v>
      </c>
      <c r="H25" s="65">
        <f>+H22/H19</f>
        <v>4.1257939632939422</v>
      </c>
      <c r="I25" s="65">
        <f>+I22/I19</f>
        <v>4.1732908905195458</v>
      </c>
      <c r="J25" s="105">
        <f>+J22/J19</f>
        <v>4.0642656437999971</v>
      </c>
    </row>
    <row r="26" spans="4:10" ht="14.25" thickBot="1" x14ac:dyDescent="0.3">
      <c r="D26" s="99" t="s">
        <v>142</v>
      </c>
      <c r="E26" s="66">
        <f t="shared" ref="E26:J26" si="2">+E22/E13</f>
        <v>2.0918021288929172</v>
      </c>
      <c r="F26" s="66">
        <f t="shared" si="2"/>
        <v>2.1067153372143483</v>
      </c>
      <c r="G26" s="66">
        <f t="shared" si="2"/>
        <v>2.1287776280712332</v>
      </c>
      <c r="H26" s="66">
        <f t="shared" si="2"/>
        <v>1.8566013004288744</v>
      </c>
      <c r="I26" s="66">
        <f t="shared" si="2"/>
        <v>1.8779662423362271</v>
      </c>
      <c r="J26" s="132">
        <f t="shared" si="2"/>
        <v>1.8289227380220057</v>
      </c>
    </row>
    <row r="27" spans="4:10" ht="9" customHeight="1" x14ac:dyDescent="0.25">
      <c r="D27" s="27"/>
      <c r="E27" s="35"/>
      <c r="F27" s="35"/>
      <c r="G27" s="35"/>
      <c r="H27" s="35"/>
      <c r="I27" s="35"/>
      <c r="J27" s="69"/>
    </row>
    <row r="28" spans="4:10" x14ac:dyDescent="0.25">
      <c r="D28" s="60"/>
      <c r="E28" s="60"/>
      <c r="F28" s="60"/>
      <c r="G28" s="60"/>
      <c r="J28" s="92" t="s">
        <v>51</v>
      </c>
    </row>
    <row r="30" spans="4:10" x14ac:dyDescent="0.25">
      <c r="J30" s="131"/>
    </row>
  </sheetData>
  <hyperlinks>
    <hyperlink ref="B2" location="'Suplemento Financiero&gt;&gt;&gt;'!A1" display="ÍNDICE" xr:uid="{4680C051-957A-4CA0-BA37-103E96ED3026}"/>
  </hyperlink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5F505-6E42-4774-BBAC-F60733D9F807}">
  <sheetPr>
    <tabColor theme="2" tint="-9.9978637043366805E-2"/>
  </sheetPr>
  <dimension ref="B1:L38"/>
  <sheetViews>
    <sheetView showGridLines="0" zoomScaleNormal="100" workbookViewId="0"/>
  </sheetViews>
  <sheetFormatPr baseColWidth="10" defaultColWidth="11.42578125" defaultRowHeight="15.75" x14ac:dyDescent="0.25"/>
  <cols>
    <col min="1" max="1" width="1.5703125" style="8" customWidth="1"/>
    <col min="2" max="2" width="10.5703125" style="8" customWidth="1"/>
    <col min="3" max="3" width="1.5703125" style="8" customWidth="1"/>
    <col min="4" max="4" width="57.85546875" style="8" bestFit="1" customWidth="1"/>
    <col min="5" max="9" width="13.28515625" style="8" customWidth="1"/>
    <col min="10" max="10" width="13.140625" style="8" bestFit="1" customWidth="1"/>
    <col min="11" max="16384" width="11.42578125" style="8"/>
  </cols>
  <sheetData>
    <row r="1" spans="2:10" ht="16.5" customHeight="1" x14ac:dyDescent="0.25">
      <c r="B1" s="7"/>
    </row>
    <row r="2" spans="2:10" ht="18.75" customHeight="1" thickBot="1" x14ac:dyDescent="0.3">
      <c r="B2" s="163" t="s">
        <v>37</v>
      </c>
      <c r="D2" s="19" t="s">
        <v>143</v>
      </c>
      <c r="E2" s="20"/>
      <c r="F2" s="20"/>
      <c r="G2" s="20"/>
      <c r="H2" s="20"/>
      <c r="I2" s="20"/>
      <c r="J2" s="20"/>
    </row>
    <row r="3" spans="2:10" x14ac:dyDescent="0.25">
      <c r="D3" s="9"/>
      <c r="E3" s="9"/>
      <c r="F3" s="9"/>
      <c r="G3" s="9"/>
      <c r="H3" s="9"/>
      <c r="I3" s="9"/>
      <c r="J3" s="9"/>
    </row>
    <row r="4" spans="2:10" ht="16.5" thickBot="1" x14ac:dyDescent="0.3">
      <c r="D4" s="15" t="s">
        <v>38</v>
      </c>
      <c r="E4" s="16" t="s">
        <v>6</v>
      </c>
      <c r="F4" s="16" t="s">
        <v>3</v>
      </c>
      <c r="G4" s="16" t="s">
        <v>4</v>
      </c>
      <c r="H4" s="16" t="s">
        <v>19</v>
      </c>
      <c r="I4" s="16" t="s">
        <v>25</v>
      </c>
      <c r="J4" s="21" t="s">
        <v>26</v>
      </c>
    </row>
    <row r="5" spans="2:10" x14ac:dyDescent="0.25">
      <c r="D5" s="88" t="s">
        <v>39</v>
      </c>
      <c r="E5" s="12">
        <v>166776</v>
      </c>
      <c r="F5" s="12">
        <v>144937</v>
      </c>
      <c r="G5" s="12">
        <v>162500</v>
      </c>
      <c r="H5" s="12">
        <v>115788</v>
      </c>
      <c r="I5" s="12">
        <v>51661</v>
      </c>
      <c r="J5" s="22">
        <v>47018</v>
      </c>
    </row>
    <row r="6" spans="2:10" x14ac:dyDescent="0.25">
      <c r="D6" s="88" t="s">
        <v>40</v>
      </c>
      <c r="E6" s="12">
        <f t="shared" ref="E6:J6" si="0">SUM(E7:E8)</f>
        <v>782715</v>
      </c>
      <c r="F6" s="12">
        <f t="shared" si="0"/>
        <v>834498</v>
      </c>
      <c r="G6" s="12">
        <f t="shared" si="0"/>
        <v>917074</v>
      </c>
      <c r="H6" s="12">
        <f t="shared" si="0"/>
        <v>864978</v>
      </c>
      <c r="I6" s="12">
        <f t="shared" si="0"/>
        <v>739664</v>
      </c>
      <c r="J6" s="22">
        <f t="shared" si="0"/>
        <v>759898</v>
      </c>
    </row>
    <row r="7" spans="2:10" x14ac:dyDescent="0.25">
      <c r="D7" s="89" t="s">
        <v>41</v>
      </c>
      <c r="E7" s="13">
        <v>88763</v>
      </c>
      <c r="F7" s="13">
        <v>116688</v>
      </c>
      <c r="G7" s="13">
        <v>125855</v>
      </c>
      <c r="H7" s="13">
        <v>153963</v>
      </c>
      <c r="I7" s="13">
        <v>120886</v>
      </c>
      <c r="J7" s="23">
        <v>135997</v>
      </c>
    </row>
    <row r="8" spans="2:10" x14ac:dyDescent="0.25">
      <c r="D8" s="89" t="s">
        <v>42</v>
      </c>
      <c r="E8" s="13">
        <v>693952</v>
      </c>
      <c r="F8" s="13">
        <v>717810</v>
      </c>
      <c r="G8" s="13">
        <v>791219</v>
      </c>
      <c r="H8" s="13">
        <v>711015</v>
      </c>
      <c r="I8" s="13">
        <v>618778</v>
      </c>
      <c r="J8" s="23">
        <v>623901</v>
      </c>
    </row>
    <row r="9" spans="2:10" x14ac:dyDescent="0.25">
      <c r="D9" s="88" t="s">
        <v>43</v>
      </c>
      <c r="E9" s="12">
        <v>115951</v>
      </c>
      <c r="F9" s="12">
        <v>106760</v>
      </c>
      <c r="G9" s="12">
        <v>110373</v>
      </c>
      <c r="H9" s="12">
        <v>120615</v>
      </c>
      <c r="I9" s="12">
        <v>123448</v>
      </c>
      <c r="J9" s="22">
        <v>126689</v>
      </c>
    </row>
    <row r="10" spans="2:10" x14ac:dyDescent="0.25">
      <c r="D10" s="88" t="s">
        <v>44</v>
      </c>
      <c r="E10" s="12">
        <v>0</v>
      </c>
      <c r="F10" s="12">
        <v>0</v>
      </c>
      <c r="G10" s="12">
        <v>0</v>
      </c>
      <c r="H10" s="12">
        <v>0</v>
      </c>
      <c r="I10" s="12">
        <v>7808</v>
      </c>
      <c r="J10" s="22">
        <v>7190</v>
      </c>
    </row>
    <row r="11" spans="2:10" x14ac:dyDescent="0.25">
      <c r="D11" s="88" t="s">
        <v>45</v>
      </c>
      <c r="E11" s="12">
        <v>7318</v>
      </c>
      <c r="F11" s="12">
        <v>9517</v>
      </c>
      <c r="G11" s="12">
        <v>12477</v>
      </c>
      <c r="H11" s="12">
        <v>20153</v>
      </c>
      <c r="I11" s="12">
        <v>19263</v>
      </c>
      <c r="J11" s="22">
        <v>23280</v>
      </c>
    </row>
    <row r="12" spans="2:10" x14ac:dyDescent="0.25">
      <c r="D12" s="88" t="s">
        <v>46</v>
      </c>
      <c r="E12" s="12">
        <f t="shared" ref="E12:G12" si="1">SUM(E13:E14)</f>
        <v>110844</v>
      </c>
      <c r="F12" s="12">
        <f t="shared" si="1"/>
        <v>114588</v>
      </c>
      <c r="G12" s="12">
        <f t="shared" si="1"/>
        <v>111282</v>
      </c>
      <c r="H12" s="12">
        <f t="shared" ref="H12" si="2">SUM(H13:H14)</f>
        <v>110721</v>
      </c>
      <c r="I12" s="12">
        <f t="shared" ref="I12:J12" si="3">SUM(I13:I14)</f>
        <v>110044</v>
      </c>
      <c r="J12" s="22">
        <f t="shared" si="3"/>
        <v>109699</v>
      </c>
    </row>
    <row r="13" spans="2:10" x14ac:dyDescent="0.25">
      <c r="D13" s="89" t="s">
        <v>47</v>
      </c>
      <c r="E13" s="13">
        <v>43386</v>
      </c>
      <c r="F13" s="13">
        <v>47918</v>
      </c>
      <c r="G13" s="13">
        <v>45334</v>
      </c>
      <c r="H13" s="13">
        <v>45264</v>
      </c>
      <c r="I13" s="13">
        <v>45368</v>
      </c>
      <c r="J13" s="23">
        <v>44227</v>
      </c>
    </row>
    <row r="14" spans="2:10" x14ac:dyDescent="0.25">
      <c r="D14" s="89" t="s">
        <v>48</v>
      </c>
      <c r="E14" s="13">
        <v>67458</v>
      </c>
      <c r="F14" s="13">
        <v>66670</v>
      </c>
      <c r="G14" s="13">
        <v>65948</v>
      </c>
      <c r="H14" s="13">
        <v>65457</v>
      </c>
      <c r="I14" s="13">
        <v>64676</v>
      </c>
      <c r="J14" s="23">
        <v>65472</v>
      </c>
    </row>
    <row r="15" spans="2:10" x14ac:dyDescent="0.25">
      <c r="D15" s="88" t="s">
        <v>49</v>
      </c>
      <c r="E15" s="12">
        <v>7593</v>
      </c>
      <c r="F15" s="12">
        <v>11845</v>
      </c>
      <c r="G15" s="12">
        <v>12688</v>
      </c>
      <c r="H15" s="12">
        <v>14121</v>
      </c>
      <c r="I15" s="12">
        <v>14482</v>
      </c>
      <c r="J15" s="22">
        <v>14670</v>
      </c>
    </row>
    <row r="16" spans="2:10" ht="16.5" thickBot="1" x14ac:dyDescent="0.3">
      <c r="D16" s="88" t="s">
        <v>50</v>
      </c>
      <c r="E16" s="12">
        <v>109552</v>
      </c>
      <c r="F16" s="12">
        <v>114481</v>
      </c>
      <c r="G16" s="12">
        <v>110139</v>
      </c>
      <c r="H16" s="12">
        <v>122102</v>
      </c>
      <c r="I16" s="12">
        <v>129045</v>
      </c>
      <c r="J16" s="22">
        <v>134169</v>
      </c>
    </row>
    <row r="17" spans="4:12" ht="16.5" thickBot="1" x14ac:dyDescent="0.3">
      <c r="D17" s="90" t="s">
        <v>91</v>
      </c>
      <c r="E17" s="17">
        <f>SUM(E5,E6,E9,E11,E12,E15,E16)</f>
        <v>1300749</v>
      </c>
      <c r="F17" s="17">
        <f t="shared" ref="F17:H17" si="4">SUM(F5,F6,F9,F11,F12,F15,F16)</f>
        <v>1336626</v>
      </c>
      <c r="G17" s="17">
        <f t="shared" si="4"/>
        <v>1436533</v>
      </c>
      <c r="H17" s="17">
        <f t="shared" si="4"/>
        <v>1368478</v>
      </c>
      <c r="I17" s="17">
        <f>SUM(I5,I6,I9,I11,I12,I15,I16,I10)</f>
        <v>1195415</v>
      </c>
      <c r="J17" s="24">
        <f>SUM(J5,J6,J9,J11,J12,J15,J16,J10)</f>
        <v>1222613</v>
      </c>
    </row>
    <row r="18" spans="4:12" s="3" customFormat="1" ht="9" customHeight="1" x14ac:dyDescent="0.25">
      <c r="D18" s="27"/>
      <c r="E18" s="48"/>
      <c r="F18" s="48"/>
      <c r="G18" s="48"/>
      <c r="H18" s="48"/>
      <c r="I18" s="48"/>
      <c r="J18" s="48"/>
      <c r="K18" s="48"/>
      <c r="L18" s="49"/>
    </row>
    <row r="19" spans="4:12" s="3" customFormat="1" ht="15" x14ac:dyDescent="0.25">
      <c r="D19" s="29"/>
      <c r="E19" s="50"/>
      <c r="F19" s="50"/>
      <c r="G19" s="50"/>
      <c r="J19" s="92" t="s">
        <v>51</v>
      </c>
    </row>
    <row r="20" spans="4:12" x14ac:dyDescent="0.25">
      <c r="D20" s="10"/>
      <c r="E20" s="11"/>
      <c r="F20" s="11"/>
      <c r="G20" s="11"/>
      <c r="H20" s="11"/>
      <c r="I20" s="11"/>
      <c r="J20" s="11"/>
    </row>
    <row r="22" spans="4:12" ht="16.5" thickBot="1" x14ac:dyDescent="0.3">
      <c r="D22" s="15" t="s">
        <v>78</v>
      </c>
      <c r="E22" s="16" t="s">
        <v>6</v>
      </c>
      <c r="F22" s="16" t="s">
        <v>3</v>
      </c>
      <c r="G22" s="16" t="s">
        <v>4</v>
      </c>
      <c r="H22" s="16" t="s">
        <v>19</v>
      </c>
      <c r="I22" s="16" t="s">
        <v>25</v>
      </c>
      <c r="J22" s="21" t="s">
        <v>26</v>
      </c>
    </row>
    <row r="23" spans="4:12" x14ac:dyDescent="0.25">
      <c r="D23" s="88" t="s">
        <v>79</v>
      </c>
      <c r="E23" s="12">
        <v>211889</v>
      </c>
      <c r="F23" s="12">
        <v>207608</v>
      </c>
      <c r="G23" s="12">
        <v>174445</v>
      </c>
      <c r="H23" s="12">
        <v>175406</v>
      </c>
      <c r="I23" s="12">
        <v>59288</v>
      </c>
      <c r="J23" s="22">
        <v>61034</v>
      </c>
    </row>
    <row r="24" spans="4:12" x14ac:dyDescent="0.25">
      <c r="D24" s="88" t="s">
        <v>44</v>
      </c>
      <c r="E24" s="12">
        <v>3385</v>
      </c>
      <c r="F24" s="12">
        <v>13584</v>
      </c>
      <c r="G24" s="12">
        <v>15167</v>
      </c>
      <c r="H24" s="12">
        <v>9447</v>
      </c>
      <c r="I24" s="12">
        <v>0</v>
      </c>
      <c r="J24" s="22">
        <v>0</v>
      </c>
    </row>
    <row r="25" spans="4:12" x14ac:dyDescent="0.25">
      <c r="D25" s="88" t="s">
        <v>80</v>
      </c>
      <c r="E25" s="12">
        <f t="shared" ref="E25:J25" si="5">SUM(E26:E28)</f>
        <v>725891</v>
      </c>
      <c r="F25" s="12">
        <f t="shared" si="5"/>
        <v>725860</v>
      </c>
      <c r="G25" s="12">
        <f t="shared" si="5"/>
        <v>716491</v>
      </c>
      <c r="H25" s="12">
        <f t="shared" si="5"/>
        <v>738158</v>
      </c>
      <c r="I25" s="12">
        <f t="shared" si="5"/>
        <v>791040</v>
      </c>
      <c r="J25" s="22">
        <f t="shared" si="5"/>
        <v>816070</v>
      </c>
    </row>
    <row r="26" spans="4:12" x14ac:dyDescent="0.25">
      <c r="D26" s="89" t="s">
        <v>81</v>
      </c>
      <c r="E26" s="13">
        <v>428118</v>
      </c>
      <c r="F26" s="13">
        <v>443115</v>
      </c>
      <c r="G26" s="13">
        <v>446423</v>
      </c>
      <c r="H26" s="13">
        <v>449740</v>
      </c>
      <c r="I26" s="13">
        <v>470783</v>
      </c>
      <c r="J26" s="23">
        <v>480306</v>
      </c>
    </row>
    <row r="27" spans="4:12" x14ac:dyDescent="0.25">
      <c r="D27" s="89" t="s">
        <v>82</v>
      </c>
      <c r="E27" s="13">
        <v>0</v>
      </c>
      <c r="F27" s="13">
        <v>6115</v>
      </c>
      <c r="G27" s="13">
        <v>4622</v>
      </c>
      <c r="H27" s="13">
        <v>3280</v>
      </c>
      <c r="I27" s="13">
        <v>2378</v>
      </c>
      <c r="J27" s="23">
        <v>2378</v>
      </c>
    </row>
    <row r="28" spans="4:12" x14ac:dyDescent="0.25">
      <c r="D28" s="89" t="s">
        <v>83</v>
      </c>
      <c r="E28" s="13">
        <v>297773</v>
      </c>
      <c r="F28" s="13">
        <v>276630</v>
      </c>
      <c r="G28" s="13">
        <v>265446</v>
      </c>
      <c r="H28" s="13">
        <v>285138</v>
      </c>
      <c r="I28" s="13">
        <v>317879</v>
      </c>
      <c r="J28" s="23">
        <v>333386</v>
      </c>
    </row>
    <row r="29" spans="4:12" x14ac:dyDescent="0.25">
      <c r="D29" s="88" t="s">
        <v>84</v>
      </c>
      <c r="E29" s="12">
        <v>24652</v>
      </c>
      <c r="F29" s="12">
        <v>22816</v>
      </c>
      <c r="G29" s="12">
        <v>16849</v>
      </c>
      <c r="H29" s="12">
        <v>22133</v>
      </c>
      <c r="I29" s="12">
        <v>26118</v>
      </c>
      <c r="J29" s="22">
        <v>24424</v>
      </c>
    </row>
    <row r="30" spans="4:12" ht="16.5" thickBot="1" x14ac:dyDescent="0.3">
      <c r="D30" s="88" t="s">
        <v>85</v>
      </c>
      <c r="E30" s="12">
        <v>46728</v>
      </c>
      <c r="F30" s="12">
        <v>41698</v>
      </c>
      <c r="G30" s="12">
        <v>46222</v>
      </c>
      <c r="H30" s="12">
        <v>45059</v>
      </c>
      <c r="I30" s="12">
        <v>28469</v>
      </c>
      <c r="J30" s="22">
        <v>28544</v>
      </c>
    </row>
    <row r="31" spans="4:12" ht="16.5" thickBot="1" x14ac:dyDescent="0.3">
      <c r="D31" s="90" t="s">
        <v>86</v>
      </c>
      <c r="E31" s="18">
        <f t="shared" ref="E31:F31" si="6">SUM(E30,E29,E25,E24,E23)</f>
        <v>1012545</v>
      </c>
      <c r="F31" s="18">
        <f t="shared" si="6"/>
        <v>1011566</v>
      </c>
      <c r="G31" s="18">
        <f>SUM(G30,G29,G25,G24,G23)</f>
        <v>969174</v>
      </c>
      <c r="H31" s="18">
        <f t="shared" ref="H31:J31" si="7">SUM(H30,H29,H25,H24,H23)</f>
        <v>990203</v>
      </c>
      <c r="I31" s="18">
        <f t="shared" ref="I31" si="8">SUM(I30,I29,I25,I24,I23)</f>
        <v>904915</v>
      </c>
      <c r="J31" s="25">
        <f t="shared" si="7"/>
        <v>930072</v>
      </c>
    </row>
    <row r="32" spans="4:12" x14ac:dyDescent="0.25">
      <c r="D32" s="91" t="s">
        <v>87</v>
      </c>
      <c r="E32" s="13">
        <v>273634</v>
      </c>
      <c r="F32" s="13">
        <v>287881</v>
      </c>
      <c r="G32" s="13">
        <v>422727</v>
      </c>
      <c r="H32" s="13">
        <v>334909</v>
      </c>
      <c r="I32" s="13">
        <v>320356</v>
      </c>
      <c r="J32" s="23">
        <v>313959</v>
      </c>
    </row>
    <row r="33" spans="4:12" ht="16.5" thickBot="1" x14ac:dyDescent="0.3">
      <c r="D33" s="91" t="s">
        <v>88</v>
      </c>
      <c r="E33" s="13">
        <v>14570</v>
      </c>
      <c r="F33" s="13">
        <v>37179</v>
      </c>
      <c r="G33" s="13">
        <v>44632</v>
      </c>
      <c r="H33" s="13">
        <v>43366</v>
      </c>
      <c r="I33" s="13">
        <v>-29856</v>
      </c>
      <c r="J33" s="23">
        <v>-21418</v>
      </c>
    </row>
    <row r="34" spans="4:12" ht="16.5" thickBot="1" x14ac:dyDescent="0.3">
      <c r="D34" s="90" t="s">
        <v>89</v>
      </c>
      <c r="E34" s="18">
        <f t="shared" ref="E34:F34" si="9">SUM(E32:E33)</f>
        <v>288204</v>
      </c>
      <c r="F34" s="18">
        <f t="shared" si="9"/>
        <v>325060</v>
      </c>
      <c r="G34" s="18">
        <f>SUM(G32:G33)</f>
        <v>467359</v>
      </c>
      <c r="H34" s="18">
        <f t="shared" ref="H34:J34" si="10">SUM(H32:H33)</f>
        <v>378275</v>
      </c>
      <c r="I34" s="18">
        <f t="shared" ref="I34" si="11">SUM(I32:I33)</f>
        <v>290500</v>
      </c>
      <c r="J34" s="25">
        <f t="shared" si="10"/>
        <v>292541</v>
      </c>
    </row>
    <row r="35" spans="4:12" ht="16.5" thickBot="1" x14ac:dyDescent="0.3">
      <c r="D35" s="90" t="s">
        <v>90</v>
      </c>
      <c r="E35" s="18">
        <f t="shared" ref="E35:J35" si="12">E34+E31</f>
        <v>1300749</v>
      </c>
      <c r="F35" s="18">
        <f t="shared" si="12"/>
        <v>1336626</v>
      </c>
      <c r="G35" s="18">
        <f t="shared" si="12"/>
        <v>1436533</v>
      </c>
      <c r="H35" s="18">
        <f t="shared" si="12"/>
        <v>1368478</v>
      </c>
      <c r="I35" s="18">
        <f t="shared" si="12"/>
        <v>1195415</v>
      </c>
      <c r="J35" s="25">
        <f t="shared" si="12"/>
        <v>1222613</v>
      </c>
    </row>
    <row r="36" spans="4:12" s="3" customFormat="1" ht="9" customHeight="1" x14ac:dyDescent="0.25">
      <c r="D36" s="27"/>
      <c r="E36" s="48"/>
      <c r="F36" s="48"/>
      <c r="G36" s="48"/>
      <c r="H36" s="48"/>
      <c r="I36" s="48"/>
      <c r="J36" s="48"/>
      <c r="K36" s="48"/>
      <c r="L36" s="49"/>
    </row>
    <row r="37" spans="4:12" s="3" customFormat="1" ht="15" x14ac:dyDescent="0.25">
      <c r="D37" s="29"/>
      <c r="E37" s="50"/>
      <c r="F37" s="50"/>
      <c r="G37" s="50"/>
      <c r="J37" s="92" t="s">
        <v>51</v>
      </c>
    </row>
    <row r="38" spans="4:12" x14ac:dyDescent="0.25">
      <c r="D38" s="10"/>
      <c r="E38" s="11"/>
      <c r="F38" s="11"/>
      <c r="G38" s="11"/>
      <c r="H38" s="11"/>
      <c r="I38" s="11"/>
      <c r="J38" s="11"/>
    </row>
  </sheetData>
  <hyperlinks>
    <hyperlink ref="B2" location="'Suplemento Financiero&gt;&gt;&gt;'!A1" display="ÍNDICE" xr:uid="{2101A27B-2B26-42D8-BBEE-F520D85A6A8A}"/>
  </hyperlinks>
  <pageMargins left="0.7" right="0.7" top="0.75" bottom="0.75" header="0.3" footer="0.3"/>
  <pageSetup paperSize="9" scale="94" orientation="landscape" r:id="rId1"/>
  <ignoredErrors>
    <ignoredError sqref="E12:G12 E25:G25 E6:G6 E7:F9 E11:F11 H11:H18 H20:H25 H6:H9 J6 I25:J25 I6:I12 J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781-AECC-45B0-A8CB-2CE0F473BCD2}">
  <sheetPr>
    <tabColor theme="2" tint="-9.9978637043366805E-2"/>
  </sheetPr>
  <dimension ref="B1:AE29"/>
  <sheetViews>
    <sheetView showGridLines="0" zoomScaleNormal="100" workbookViewId="0"/>
  </sheetViews>
  <sheetFormatPr baseColWidth="10" defaultColWidth="11.42578125" defaultRowHeight="15" outlineLevelCol="1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46" style="1" bestFit="1" customWidth="1"/>
    <col min="5" max="5" width="13.28515625" style="1" customWidth="1"/>
    <col min="6" max="6" width="13.28515625" style="1" hidden="1" customWidth="1" outlineLevel="1"/>
    <col min="7" max="7" width="13.28515625" style="1" customWidth="1" collapsed="1"/>
    <col min="8" max="9" width="13.28515625" style="1" hidden="1" customWidth="1" outlineLevel="1"/>
    <col min="10" max="10" width="13.28515625" style="1" customWidth="1" collapsed="1"/>
    <col min="11" max="13" width="13.28515625" style="1" hidden="1" customWidth="1" outlineLevel="1"/>
    <col min="14" max="14" width="13.28515625" style="1" customWidth="1" collapsed="1"/>
    <col min="15" max="15" width="13.28515625" style="1" customWidth="1"/>
    <col min="16" max="17" width="13.28515625" style="1" hidden="1" customWidth="1" outlineLevel="1"/>
    <col min="18" max="18" width="13.28515625" style="1" customWidth="1" collapsed="1"/>
    <col min="19" max="19" width="13.28515625" style="1" customWidth="1"/>
    <col min="20" max="20" width="3" style="1" customWidth="1"/>
    <col min="21" max="16384" width="11.42578125" style="1"/>
  </cols>
  <sheetData>
    <row r="1" spans="2:31" ht="16.5" customHeight="1" x14ac:dyDescent="0.25"/>
    <row r="2" spans="2:31" ht="18.75" customHeight="1" thickBot="1" x14ac:dyDescent="0.3">
      <c r="B2" s="163" t="s">
        <v>37</v>
      </c>
      <c r="D2" s="19" t="s">
        <v>144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U2" s="19" t="s">
        <v>57</v>
      </c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2:31" ht="15.75" x14ac:dyDescent="0.25">
      <c r="B3" s="26"/>
      <c r="D3" s="27"/>
      <c r="E3" s="28"/>
      <c r="F3" s="28"/>
      <c r="G3" s="27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2:31" ht="16.5" thickBot="1" x14ac:dyDescent="0.3">
      <c r="B4" s="26"/>
      <c r="D4" s="33"/>
      <c r="E4" s="16" t="s">
        <v>6</v>
      </c>
      <c r="F4" s="16" t="s">
        <v>16</v>
      </c>
      <c r="G4" s="16" t="s">
        <v>3</v>
      </c>
      <c r="H4" s="16" t="s">
        <v>17</v>
      </c>
      <c r="I4" s="16" t="s">
        <v>14</v>
      </c>
      <c r="J4" s="16" t="s">
        <v>4</v>
      </c>
      <c r="K4" s="16" t="s">
        <v>21</v>
      </c>
      <c r="L4" s="16" t="s">
        <v>15</v>
      </c>
      <c r="M4" s="16" t="s">
        <v>13</v>
      </c>
      <c r="N4" s="16" t="s">
        <v>19</v>
      </c>
      <c r="O4" s="16" t="s">
        <v>22</v>
      </c>
      <c r="P4" s="16" t="s">
        <v>23</v>
      </c>
      <c r="Q4" s="16" t="s">
        <v>24</v>
      </c>
      <c r="R4" s="16" t="s">
        <v>25</v>
      </c>
      <c r="S4" s="21" t="s">
        <v>26</v>
      </c>
      <c r="U4" s="16" t="s">
        <v>67</v>
      </c>
      <c r="V4" s="16" t="s">
        <v>68</v>
      </c>
      <c r="W4" s="16" t="s">
        <v>69</v>
      </c>
      <c r="X4" s="16" t="s">
        <v>70</v>
      </c>
      <c r="Y4" s="16" t="s">
        <v>71</v>
      </c>
      <c r="Z4" s="16" t="s">
        <v>72</v>
      </c>
      <c r="AA4" s="16" t="s">
        <v>73</v>
      </c>
      <c r="AB4" s="16" t="s">
        <v>74</v>
      </c>
      <c r="AC4" s="16" t="s">
        <v>75</v>
      </c>
      <c r="AD4" s="16" t="s">
        <v>76</v>
      </c>
      <c r="AE4" s="21" t="s">
        <v>77</v>
      </c>
    </row>
    <row r="5" spans="2:31" ht="15.75" x14ac:dyDescent="0.25">
      <c r="B5" s="26"/>
      <c r="D5" s="27" t="s">
        <v>58</v>
      </c>
      <c r="E5" s="14">
        <v>853119</v>
      </c>
      <c r="F5" s="14">
        <v>671237.88711999997</v>
      </c>
      <c r="G5" s="14">
        <v>891295</v>
      </c>
      <c r="H5" s="14">
        <v>451910</v>
      </c>
      <c r="I5" s="14">
        <v>675056.76400999993</v>
      </c>
      <c r="J5" s="14">
        <v>898614</v>
      </c>
      <c r="K5" s="14">
        <v>224068</v>
      </c>
      <c r="L5" s="14">
        <v>456465</v>
      </c>
      <c r="M5" s="14">
        <v>682637.5491399999</v>
      </c>
      <c r="N5" s="14">
        <v>907189</v>
      </c>
      <c r="O5" s="14">
        <v>232005</v>
      </c>
      <c r="P5" s="14">
        <v>474789</v>
      </c>
      <c r="Q5" s="14">
        <v>710701</v>
      </c>
      <c r="R5" s="14">
        <v>946679</v>
      </c>
      <c r="S5" s="31">
        <v>244211</v>
      </c>
      <c r="U5" s="14">
        <f t="shared" ref="U5:U18" si="0">I5-H5</f>
        <v>223146.76400999993</v>
      </c>
      <c r="V5" s="14">
        <f t="shared" ref="V5:V18" si="1">J5-I5</f>
        <v>223557.23599000007</v>
      </c>
      <c r="W5" s="14">
        <f>K5</f>
        <v>224068</v>
      </c>
      <c r="X5" s="14">
        <f>L5-K5</f>
        <v>232397</v>
      </c>
      <c r="Y5" s="14">
        <f>M5-L5</f>
        <v>226172.5491399999</v>
      </c>
      <c r="Z5" s="14">
        <f t="shared" ref="Z5:Z17" si="2">N5-M5</f>
        <v>224551.4508600001</v>
      </c>
      <c r="AA5" s="14">
        <f t="shared" ref="AA5:AA17" si="3">O5</f>
        <v>232005</v>
      </c>
      <c r="AB5" s="14">
        <f>P5-O5</f>
        <v>242784</v>
      </c>
      <c r="AC5" s="14">
        <f>Q5-P5</f>
        <v>235912</v>
      </c>
      <c r="AD5" s="14">
        <f>R5-Q5</f>
        <v>235978</v>
      </c>
      <c r="AE5" s="31">
        <f>S5</f>
        <v>244211</v>
      </c>
    </row>
    <row r="6" spans="2:31" ht="15.75" x14ac:dyDescent="0.25">
      <c r="B6" s="26"/>
      <c r="D6" s="27" t="s">
        <v>61</v>
      </c>
      <c r="E6" s="14">
        <v>816289</v>
      </c>
      <c r="F6" s="14">
        <v>641351.88182999962</v>
      </c>
      <c r="G6" s="14">
        <v>854762</v>
      </c>
      <c r="H6" s="14">
        <v>434400</v>
      </c>
      <c r="I6" s="14">
        <v>654226.95956999995</v>
      </c>
      <c r="J6" s="14">
        <v>878177</v>
      </c>
      <c r="K6" s="14">
        <v>216386</v>
      </c>
      <c r="L6" s="14">
        <v>435993</v>
      </c>
      <c r="M6" s="14">
        <v>658532.16795000026</v>
      </c>
      <c r="N6" s="14">
        <v>882728</v>
      </c>
      <c r="O6" s="14">
        <v>218616</v>
      </c>
      <c r="P6" s="14">
        <v>441739</v>
      </c>
      <c r="Q6" s="14">
        <v>669797</v>
      </c>
      <c r="R6" s="14">
        <v>900647</v>
      </c>
      <c r="S6" s="31">
        <v>228677</v>
      </c>
      <c r="U6" s="14">
        <f t="shared" si="0"/>
        <v>219826.95956999995</v>
      </c>
      <c r="V6" s="14">
        <f t="shared" si="1"/>
        <v>223950.04043000005</v>
      </c>
      <c r="W6" s="14">
        <f t="shared" ref="W6:W18" si="4">K6</f>
        <v>216386</v>
      </c>
      <c r="X6" s="14">
        <f t="shared" ref="X6:X18" si="5">L6-K6</f>
        <v>219607</v>
      </c>
      <c r="Y6" s="14">
        <f t="shared" ref="Y6:Y18" si="6">M6-L6</f>
        <v>222539.16795000026</v>
      </c>
      <c r="Z6" s="14">
        <f t="shared" si="2"/>
        <v>224195.83204999974</v>
      </c>
      <c r="AA6" s="14">
        <f t="shared" si="3"/>
        <v>218616</v>
      </c>
      <c r="AB6" s="14">
        <f t="shared" ref="AB6:AB18" si="7">P6-O6</f>
        <v>223123</v>
      </c>
      <c r="AC6" s="14">
        <f t="shared" ref="AC6:AC18" si="8">Q6-P6</f>
        <v>228058</v>
      </c>
      <c r="AD6" s="14">
        <f t="shared" ref="AD6:AD18" si="9">R6-Q6</f>
        <v>230850</v>
      </c>
      <c r="AE6" s="31">
        <f t="shared" ref="AE6:AE18" si="10">S6</f>
        <v>228677</v>
      </c>
    </row>
    <row r="7" spans="2:31" ht="15.75" x14ac:dyDescent="0.25">
      <c r="B7" s="26"/>
      <c r="D7" s="93" t="s">
        <v>62</v>
      </c>
      <c r="E7" s="30">
        <v>-528029</v>
      </c>
      <c r="F7" s="30">
        <v>-434879.50449328037</v>
      </c>
      <c r="G7" s="30">
        <v>-580987</v>
      </c>
      <c r="H7" s="30">
        <v>-279624</v>
      </c>
      <c r="I7" s="30">
        <v>-404121.66815101047</v>
      </c>
      <c r="J7" s="30">
        <v>-540064</v>
      </c>
      <c r="K7" s="30">
        <v>-142364</v>
      </c>
      <c r="L7" s="30">
        <v>-284885</v>
      </c>
      <c r="M7" s="30">
        <v>-434205.32618606143</v>
      </c>
      <c r="N7" s="30">
        <v>-597820</v>
      </c>
      <c r="O7" s="30">
        <v>-151164</v>
      </c>
      <c r="P7" s="30">
        <v>-310218</v>
      </c>
      <c r="Q7" s="30">
        <v>-487814</v>
      </c>
      <c r="R7" s="30">
        <v>-681500</v>
      </c>
      <c r="S7" s="32">
        <v>-197357</v>
      </c>
      <c r="U7" s="30">
        <f t="shared" si="0"/>
        <v>-124497.66815101047</v>
      </c>
      <c r="V7" s="30">
        <f t="shared" si="1"/>
        <v>-135942.33184898953</v>
      </c>
      <c r="W7" s="30">
        <f t="shared" si="4"/>
        <v>-142364</v>
      </c>
      <c r="X7" s="30">
        <f t="shared" si="5"/>
        <v>-142521</v>
      </c>
      <c r="Y7" s="30">
        <f t="shared" si="6"/>
        <v>-149320.32618606143</v>
      </c>
      <c r="Z7" s="30">
        <f t="shared" si="2"/>
        <v>-163614.67381393857</v>
      </c>
      <c r="AA7" s="30">
        <f t="shared" si="3"/>
        <v>-151164</v>
      </c>
      <c r="AB7" s="14">
        <f t="shared" si="7"/>
        <v>-159054</v>
      </c>
      <c r="AC7" s="30">
        <f t="shared" si="8"/>
        <v>-177596</v>
      </c>
      <c r="AD7" s="30">
        <f t="shared" si="9"/>
        <v>-193686</v>
      </c>
      <c r="AE7" s="32">
        <f t="shared" si="10"/>
        <v>-197357</v>
      </c>
    </row>
    <row r="8" spans="2:31" ht="15.75" x14ac:dyDescent="0.25">
      <c r="B8" s="26"/>
      <c r="D8" s="93" t="s">
        <v>63</v>
      </c>
      <c r="E8" s="30">
        <v>-196176</v>
      </c>
      <c r="F8" s="30">
        <v>-149071.66064898294</v>
      </c>
      <c r="G8" s="30">
        <v>-199919</v>
      </c>
      <c r="H8" s="30">
        <v>-101365</v>
      </c>
      <c r="I8" s="30">
        <v>-154592.63530112992</v>
      </c>
      <c r="J8" s="30">
        <v>-209603</v>
      </c>
      <c r="K8" s="30">
        <v>-46564</v>
      </c>
      <c r="L8" s="30">
        <v>-97485</v>
      </c>
      <c r="M8" s="30">
        <v>-149806.46006821495</v>
      </c>
      <c r="N8" s="30">
        <v>-203458</v>
      </c>
      <c r="O8" s="30">
        <v>-45654</v>
      </c>
      <c r="P8" s="30">
        <v>-94279</v>
      </c>
      <c r="Q8" s="30">
        <v>-146456</v>
      </c>
      <c r="R8" s="30">
        <v>-202182</v>
      </c>
      <c r="S8" s="32">
        <v>-50440</v>
      </c>
      <c r="U8" s="30">
        <f t="shared" si="0"/>
        <v>-53227.635301129922</v>
      </c>
      <c r="V8" s="30">
        <f t="shared" si="1"/>
        <v>-55010.364698870078</v>
      </c>
      <c r="W8" s="30">
        <f t="shared" si="4"/>
        <v>-46564</v>
      </c>
      <c r="X8" s="30">
        <f t="shared" si="5"/>
        <v>-50921</v>
      </c>
      <c r="Y8" s="30">
        <f t="shared" si="6"/>
        <v>-52321.460068214947</v>
      </c>
      <c r="Z8" s="30">
        <f t="shared" si="2"/>
        <v>-53651.539931785053</v>
      </c>
      <c r="AA8" s="30">
        <f t="shared" si="3"/>
        <v>-45654</v>
      </c>
      <c r="AB8" s="14">
        <f t="shared" si="7"/>
        <v>-48625</v>
      </c>
      <c r="AC8" s="30">
        <f t="shared" si="8"/>
        <v>-52177</v>
      </c>
      <c r="AD8" s="30">
        <f t="shared" si="9"/>
        <v>-55726</v>
      </c>
      <c r="AE8" s="32">
        <f t="shared" si="10"/>
        <v>-50440</v>
      </c>
    </row>
    <row r="9" spans="2:31" ht="15.75" x14ac:dyDescent="0.25">
      <c r="B9" s="26"/>
      <c r="D9" s="93" t="s">
        <v>64</v>
      </c>
      <c r="E9" s="30">
        <v>25728</v>
      </c>
      <c r="F9" s="30">
        <v>23267.081610000001</v>
      </c>
      <c r="G9" s="30">
        <v>29794</v>
      </c>
      <c r="H9" s="30">
        <v>8623</v>
      </c>
      <c r="I9" s="30">
        <v>14051.203730000003</v>
      </c>
      <c r="J9" s="30">
        <v>17429</v>
      </c>
      <c r="K9" s="30">
        <v>4086</v>
      </c>
      <c r="L9" s="30">
        <v>9516</v>
      </c>
      <c r="M9" s="30">
        <v>15089.09052</v>
      </c>
      <c r="N9" s="30">
        <v>22185</v>
      </c>
      <c r="O9" s="30">
        <v>2310</v>
      </c>
      <c r="P9" s="30">
        <v>6809</v>
      </c>
      <c r="Q9" s="30">
        <v>11920</v>
      </c>
      <c r="R9" s="30">
        <v>16385</v>
      </c>
      <c r="S9" s="32">
        <v>2314</v>
      </c>
      <c r="U9" s="30">
        <f t="shared" si="0"/>
        <v>5428.2037300000029</v>
      </c>
      <c r="V9" s="30">
        <f t="shared" si="1"/>
        <v>3377.7962699999971</v>
      </c>
      <c r="W9" s="30">
        <f t="shared" si="4"/>
        <v>4086</v>
      </c>
      <c r="X9" s="30">
        <f t="shared" si="5"/>
        <v>5430</v>
      </c>
      <c r="Y9" s="30">
        <f t="shared" si="6"/>
        <v>5573.0905199999997</v>
      </c>
      <c r="Z9" s="30">
        <f t="shared" si="2"/>
        <v>7095.9094800000003</v>
      </c>
      <c r="AA9" s="30">
        <f t="shared" si="3"/>
        <v>2310</v>
      </c>
      <c r="AB9" s="14">
        <f t="shared" si="7"/>
        <v>4499</v>
      </c>
      <c r="AC9" s="30">
        <f t="shared" si="8"/>
        <v>5111</v>
      </c>
      <c r="AD9" s="30">
        <f t="shared" si="9"/>
        <v>4465</v>
      </c>
      <c r="AE9" s="32">
        <f t="shared" si="10"/>
        <v>2314</v>
      </c>
    </row>
    <row r="10" spans="2:31" ht="15.75" x14ac:dyDescent="0.25">
      <c r="B10" s="26"/>
      <c r="D10" s="27" t="s">
        <v>59</v>
      </c>
      <c r="E10" s="14">
        <f t="shared" ref="E10:I10" si="11">SUM(E6:E9)</f>
        <v>117812</v>
      </c>
      <c r="F10" s="14">
        <f>SUM(F6:F9)</f>
        <v>80667.798297736299</v>
      </c>
      <c r="G10" s="14">
        <f t="shared" si="11"/>
        <v>103650</v>
      </c>
      <c r="H10" s="14">
        <f t="shared" si="11"/>
        <v>62034</v>
      </c>
      <c r="I10" s="14">
        <f t="shared" si="11"/>
        <v>109563.85984785957</v>
      </c>
      <c r="J10" s="14">
        <f t="shared" ref="J10:Q10" si="12">SUM(J6:J9)</f>
        <v>145939</v>
      </c>
      <c r="K10" s="14">
        <f t="shared" si="12"/>
        <v>31544</v>
      </c>
      <c r="L10" s="14">
        <f t="shared" si="12"/>
        <v>63139</v>
      </c>
      <c r="M10" s="14">
        <f t="shared" si="12"/>
        <v>89609.472215723887</v>
      </c>
      <c r="N10" s="14">
        <f t="shared" si="12"/>
        <v>103635</v>
      </c>
      <c r="O10" s="14">
        <f t="shared" ref="O10" si="13">SUM(O6:O9)</f>
        <v>24108</v>
      </c>
      <c r="P10" s="14">
        <v>44051</v>
      </c>
      <c r="Q10" s="14">
        <f t="shared" si="12"/>
        <v>47447</v>
      </c>
      <c r="R10" s="14">
        <f>SUM(R6:R9)</f>
        <v>33350</v>
      </c>
      <c r="S10" s="31">
        <f>SUM(S6:S9)</f>
        <v>-16806</v>
      </c>
      <c r="U10" s="14">
        <f t="shared" si="0"/>
        <v>47529.859847859567</v>
      </c>
      <c r="V10" s="14">
        <f t="shared" si="1"/>
        <v>36375.140152140433</v>
      </c>
      <c r="W10" s="14">
        <f t="shared" si="4"/>
        <v>31544</v>
      </c>
      <c r="X10" s="14">
        <f t="shared" si="5"/>
        <v>31595</v>
      </c>
      <c r="Y10" s="14">
        <f t="shared" si="6"/>
        <v>26470.472215723887</v>
      </c>
      <c r="Z10" s="14">
        <f t="shared" si="2"/>
        <v>14025.527784276113</v>
      </c>
      <c r="AA10" s="14">
        <f t="shared" si="3"/>
        <v>24108</v>
      </c>
      <c r="AB10" s="14">
        <f t="shared" si="7"/>
        <v>19943</v>
      </c>
      <c r="AC10" s="14">
        <f t="shared" si="8"/>
        <v>3396</v>
      </c>
      <c r="AD10" s="14">
        <f t="shared" si="9"/>
        <v>-14097</v>
      </c>
      <c r="AE10" s="31">
        <f t="shared" si="10"/>
        <v>-16806</v>
      </c>
    </row>
    <row r="11" spans="2:31" ht="15.75" x14ac:dyDescent="0.25">
      <c r="B11" s="26"/>
      <c r="D11" s="93" t="s">
        <v>92</v>
      </c>
      <c r="E11" s="30">
        <v>52021</v>
      </c>
      <c r="F11" s="30">
        <v>54355.569459999992</v>
      </c>
      <c r="G11" s="30">
        <v>70687</v>
      </c>
      <c r="H11" s="30">
        <v>34974</v>
      </c>
      <c r="I11" s="30">
        <v>50657.768469999995</v>
      </c>
      <c r="J11" s="30">
        <v>76613</v>
      </c>
      <c r="K11" s="30">
        <v>13376</v>
      </c>
      <c r="L11" s="30">
        <v>22769</v>
      </c>
      <c r="M11" s="30">
        <v>39281.246479999987</v>
      </c>
      <c r="N11" s="30">
        <v>57904</v>
      </c>
      <c r="O11" s="30">
        <v>16337</v>
      </c>
      <c r="P11" s="30">
        <v>36794</v>
      </c>
      <c r="Q11" s="30">
        <v>51685</v>
      </c>
      <c r="R11" s="30">
        <v>72406</v>
      </c>
      <c r="S11" s="32">
        <v>15432</v>
      </c>
      <c r="U11" s="30">
        <f t="shared" si="0"/>
        <v>15683.768469999995</v>
      </c>
      <c r="V11" s="30">
        <f t="shared" si="1"/>
        <v>25955.231530000005</v>
      </c>
      <c r="W11" s="30">
        <f t="shared" si="4"/>
        <v>13376</v>
      </c>
      <c r="X11" s="30">
        <f t="shared" si="5"/>
        <v>9393</v>
      </c>
      <c r="Y11" s="30">
        <f t="shared" si="6"/>
        <v>16512.246479999987</v>
      </c>
      <c r="Z11" s="30">
        <f t="shared" si="2"/>
        <v>18622.753520000013</v>
      </c>
      <c r="AA11" s="30">
        <f t="shared" si="3"/>
        <v>16337</v>
      </c>
      <c r="AB11" s="14">
        <f t="shared" si="7"/>
        <v>20457</v>
      </c>
      <c r="AC11" s="30">
        <f t="shared" si="8"/>
        <v>14891</v>
      </c>
      <c r="AD11" s="30">
        <f t="shared" si="9"/>
        <v>20721</v>
      </c>
      <c r="AE11" s="32">
        <f t="shared" si="10"/>
        <v>15432</v>
      </c>
    </row>
    <row r="12" spans="2:31" ht="15.75" x14ac:dyDescent="0.25">
      <c r="B12" s="26"/>
      <c r="D12" s="93" t="s">
        <v>93</v>
      </c>
      <c r="E12" s="30">
        <v>-18547</v>
      </c>
      <c r="F12" s="30">
        <v>-32709.224891641526</v>
      </c>
      <c r="G12" s="30">
        <v>-39117</v>
      </c>
      <c r="H12" s="30">
        <v>-21932</v>
      </c>
      <c r="I12" s="30">
        <v>-32428.553819042852</v>
      </c>
      <c r="J12" s="30">
        <v>-47360</v>
      </c>
      <c r="K12" s="30">
        <v>-6437</v>
      </c>
      <c r="L12" s="30">
        <v>-9974</v>
      </c>
      <c r="M12" s="30">
        <v>-17173.93199369132</v>
      </c>
      <c r="N12" s="30">
        <v>-23243</v>
      </c>
      <c r="O12" s="30">
        <v>-9589</v>
      </c>
      <c r="P12" s="30">
        <v>-18414</v>
      </c>
      <c r="Q12" s="30">
        <v>-25662</v>
      </c>
      <c r="R12" s="30">
        <v>-32633</v>
      </c>
      <c r="S12" s="32">
        <v>-6755</v>
      </c>
      <c r="U12" s="30">
        <f t="shared" si="0"/>
        <v>-10496.553819042852</v>
      </c>
      <c r="V12" s="30">
        <f t="shared" si="1"/>
        <v>-14931.446180957148</v>
      </c>
      <c r="W12" s="30">
        <f t="shared" si="4"/>
        <v>-6437</v>
      </c>
      <c r="X12" s="30">
        <f t="shared" si="5"/>
        <v>-3537</v>
      </c>
      <c r="Y12" s="30">
        <f t="shared" si="6"/>
        <v>-7199.9319936913198</v>
      </c>
      <c r="Z12" s="30">
        <f t="shared" si="2"/>
        <v>-6069.0680063086802</v>
      </c>
      <c r="AA12" s="30">
        <f t="shared" si="3"/>
        <v>-9589</v>
      </c>
      <c r="AB12" s="14">
        <f t="shared" si="7"/>
        <v>-8825</v>
      </c>
      <c r="AC12" s="30">
        <f t="shared" si="8"/>
        <v>-7248</v>
      </c>
      <c r="AD12" s="30">
        <f t="shared" si="9"/>
        <v>-6971</v>
      </c>
      <c r="AE12" s="32">
        <f t="shared" si="10"/>
        <v>-6755</v>
      </c>
    </row>
    <row r="13" spans="2:31" ht="15.75" x14ac:dyDescent="0.25">
      <c r="B13" s="26"/>
      <c r="D13" s="27" t="s">
        <v>94</v>
      </c>
      <c r="E13" s="14">
        <f>SUM(E11:E12)</f>
        <v>33474</v>
      </c>
      <c r="F13" s="14">
        <f>SUM(F11:F12)</f>
        <v>21646.344568358465</v>
      </c>
      <c r="G13" s="14">
        <f t="shared" ref="G13:I13" si="14">SUM(G11:G12)</f>
        <v>31570</v>
      </c>
      <c r="H13" s="14">
        <f t="shared" ref="H13" si="15">SUM(H11:H12)</f>
        <v>13042</v>
      </c>
      <c r="I13" s="14">
        <f t="shared" si="14"/>
        <v>18229.214650957143</v>
      </c>
      <c r="J13" s="14">
        <f t="shared" ref="J13:Q13" si="16">SUM(J11:J12)</f>
        <v>29253</v>
      </c>
      <c r="K13" s="14">
        <f t="shared" si="16"/>
        <v>6939</v>
      </c>
      <c r="L13" s="14">
        <f t="shared" si="16"/>
        <v>12795</v>
      </c>
      <c r="M13" s="14">
        <f t="shared" si="16"/>
        <v>22107.314486308667</v>
      </c>
      <c r="N13" s="14">
        <f t="shared" si="16"/>
        <v>34661</v>
      </c>
      <c r="O13" s="14">
        <f t="shared" ref="O13" si="17">SUM(O11:O12)</f>
        <v>6748</v>
      </c>
      <c r="P13" s="14">
        <v>18380</v>
      </c>
      <c r="Q13" s="14">
        <f t="shared" si="16"/>
        <v>26023</v>
      </c>
      <c r="R13" s="14">
        <f>SUM(R11:R12)</f>
        <v>39773</v>
      </c>
      <c r="S13" s="31">
        <f>SUM(S11:S12)</f>
        <v>8677</v>
      </c>
      <c r="U13" s="14">
        <f t="shared" si="0"/>
        <v>5187.214650957143</v>
      </c>
      <c r="V13" s="14">
        <f t="shared" si="1"/>
        <v>11023.785349042857</v>
      </c>
      <c r="W13" s="14">
        <f t="shared" si="4"/>
        <v>6939</v>
      </c>
      <c r="X13" s="14">
        <f t="shared" si="5"/>
        <v>5856</v>
      </c>
      <c r="Y13" s="14">
        <f t="shared" si="6"/>
        <v>9312.3144863086673</v>
      </c>
      <c r="Z13" s="14">
        <f t="shared" si="2"/>
        <v>12553.685513691333</v>
      </c>
      <c r="AA13" s="14">
        <f t="shared" si="3"/>
        <v>6748</v>
      </c>
      <c r="AB13" s="14">
        <f t="shared" si="7"/>
        <v>11632</v>
      </c>
      <c r="AC13" s="14">
        <f t="shared" si="8"/>
        <v>7643</v>
      </c>
      <c r="AD13" s="14">
        <f t="shared" si="9"/>
        <v>13750</v>
      </c>
      <c r="AE13" s="31">
        <f t="shared" si="10"/>
        <v>8677</v>
      </c>
    </row>
    <row r="14" spans="2:31" ht="15.75" x14ac:dyDescent="0.25">
      <c r="B14" s="26"/>
      <c r="D14" s="27" t="s">
        <v>95</v>
      </c>
      <c r="E14" s="14">
        <f>SUM(E13,E10)</f>
        <v>151286</v>
      </c>
      <c r="F14" s="14">
        <f>SUM(F13,F10)</f>
        <v>102314.14286609477</v>
      </c>
      <c r="G14" s="14">
        <f t="shared" ref="G14:I14" si="18">SUM(G13,G10)</f>
        <v>135220</v>
      </c>
      <c r="H14" s="14">
        <f t="shared" ref="H14" si="19">SUM(H13,H10)</f>
        <v>75076</v>
      </c>
      <c r="I14" s="14">
        <f t="shared" si="18"/>
        <v>127793.07449881671</v>
      </c>
      <c r="J14" s="14">
        <f t="shared" ref="J14:Q14" si="20">SUM(J13,J10)</f>
        <v>175192</v>
      </c>
      <c r="K14" s="14">
        <f t="shared" si="20"/>
        <v>38483</v>
      </c>
      <c r="L14" s="14">
        <f t="shared" si="20"/>
        <v>75934</v>
      </c>
      <c r="M14" s="14">
        <f t="shared" si="20"/>
        <v>111716.78670203255</v>
      </c>
      <c r="N14" s="14">
        <f t="shared" si="20"/>
        <v>138296</v>
      </c>
      <c r="O14" s="14">
        <f t="shared" ref="O14" si="21">SUM(O13,O10)</f>
        <v>30856</v>
      </c>
      <c r="P14" s="14">
        <v>62431</v>
      </c>
      <c r="Q14" s="14">
        <f t="shared" si="20"/>
        <v>73470</v>
      </c>
      <c r="R14" s="14">
        <f>SUM(R13,R10)</f>
        <v>73123</v>
      </c>
      <c r="S14" s="31">
        <f>SUM(S13,S10)</f>
        <v>-8129</v>
      </c>
      <c r="U14" s="14">
        <f t="shared" si="0"/>
        <v>52717.074498816713</v>
      </c>
      <c r="V14" s="14">
        <f t="shared" si="1"/>
        <v>47398.925501183287</v>
      </c>
      <c r="W14" s="14">
        <f t="shared" si="4"/>
        <v>38483</v>
      </c>
      <c r="X14" s="14">
        <f t="shared" si="5"/>
        <v>37451</v>
      </c>
      <c r="Y14" s="14">
        <f t="shared" si="6"/>
        <v>35782.78670203255</v>
      </c>
      <c r="Z14" s="14">
        <f t="shared" si="2"/>
        <v>26579.21329796745</v>
      </c>
      <c r="AA14" s="14">
        <f t="shared" si="3"/>
        <v>30856</v>
      </c>
      <c r="AB14" s="14">
        <f t="shared" si="7"/>
        <v>31575</v>
      </c>
      <c r="AC14" s="14">
        <f>Q14-P14</f>
        <v>11039</v>
      </c>
      <c r="AD14" s="14">
        <f t="shared" si="9"/>
        <v>-347</v>
      </c>
      <c r="AE14" s="31">
        <f t="shared" si="10"/>
        <v>-8129</v>
      </c>
    </row>
    <row r="15" spans="2:31" ht="15.75" x14ac:dyDescent="0.25">
      <c r="B15" s="26"/>
      <c r="D15" s="93" t="s">
        <v>96</v>
      </c>
      <c r="E15" s="30">
        <v>4677</v>
      </c>
      <c r="F15" s="30">
        <v>5809.7359739047224</v>
      </c>
      <c r="G15" s="30">
        <v>7617</v>
      </c>
      <c r="H15" s="30">
        <v>3444</v>
      </c>
      <c r="I15" s="30">
        <v>5116.6454408655263</v>
      </c>
      <c r="J15" s="30">
        <v>4432</v>
      </c>
      <c r="K15" s="30">
        <v>944</v>
      </c>
      <c r="L15" s="30">
        <v>1684</v>
      </c>
      <c r="M15" s="30">
        <v>3360.7093052500841</v>
      </c>
      <c r="N15" s="30">
        <v>6884</v>
      </c>
      <c r="O15" s="30">
        <v>1429</v>
      </c>
      <c r="P15" s="30">
        <v>2820</v>
      </c>
      <c r="Q15" s="30">
        <v>3712</v>
      </c>
      <c r="R15" s="30">
        <v>5635</v>
      </c>
      <c r="S15" s="32">
        <v>1083</v>
      </c>
      <c r="U15" s="30">
        <f t="shared" si="0"/>
        <v>1672.6454408655263</v>
      </c>
      <c r="V15" s="30">
        <f t="shared" si="1"/>
        <v>-684.64544086552633</v>
      </c>
      <c r="W15" s="30">
        <f t="shared" si="4"/>
        <v>944</v>
      </c>
      <c r="X15" s="30">
        <f t="shared" si="5"/>
        <v>740</v>
      </c>
      <c r="Y15" s="30">
        <f t="shared" si="6"/>
        <v>1676.7093052500841</v>
      </c>
      <c r="Z15" s="30">
        <f t="shared" si="2"/>
        <v>3523.2906947499159</v>
      </c>
      <c r="AA15" s="30">
        <f t="shared" si="3"/>
        <v>1429</v>
      </c>
      <c r="AB15" s="14">
        <f t="shared" si="7"/>
        <v>1391</v>
      </c>
      <c r="AC15" s="30">
        <f t="shared" si="8"/>
        <v>892</v>
      </c>
      <c r="AD15" s="30">
        <f t="shared" si="9"/>
        <v>1923</v>
      </c>
      <c r="AE15" s="32">
        <f t="shared" si="10"/>
        <v>1083</v>
      </c>
    </row>
    <row r="16" spans="2:31" ht="15.75" x14ac:dyDescent="0.25">
      <c r="B16" s="26"/>
      <c r="D16" s="27" t="s">
        <v>97</v>
      </c>
      <c r="E16" s="14">
        <f>SUM(E14:E15)</f>
        <v>155963</v>
      </c>
      <c r="F16" s="14">
        <f>SUM(F14:F15)</f>
        <v>108123.8788399995</v>
      </c>
      <c r="G16" s="14">
        <f t="shared" ref="G16:I16" si="22">SUM(G14:G15)</f>
        <v>142837</v>
      </c>
      <c r="H16" s="14">
        <f t="shared" ref="H16" si="23">SUM(H14:H15)</f>
        <v>78520</v>
      </c>
      <c r="I16" s="14">
        <f t="shared" si="22"/>
        <v>132909.71993968223</v>
      </c>
      <c r="J16" s="14">
        <f t="shared" ref="J16:Q16" si="24">SUM(J14:J15)</f>
        <v>179624</v>
      </c>
      <c r="K16" s="14">
        <f t="shared" si="24"/>
        <v>39427</v>
      </c>
      <c r="L16" s="14">
        <f t="shared" si="24"/>
        <v>77618</v>
      </c>
      <c r="M16" s="14">
        <f t="shared" si="24"/>
        <v>115077.49600728264</v>
      </c>
      <c r="N16" s="14">
        <f t="shared" si="24"/>
        <v>145180</v>
      </c>
      <c r="O16" s="14">
        <f t="shared" ref="O16" si="25">SUM(O14:O15)</f>
        <v>32285</v>
      </c>
      <c r="P16" s="14">
        <v>65251</v>
      </c>
      <c r="Q16" s="14">
        <f t="shared" si="24"/>
        <v>77182</v>
      </c>
      <c r="R16" s="14">
        <f>SUM(R14:R15)</f>
        <v>78758</v>
      </c>
      <c r="S16" s="31">
        <f>SUM(S14:S15)</f>
        <v>-7046</v>
      </c>
      <c r="U16" s="14">
        <f t="shared" si="0"/>
        <v>54389.719939682225</v>
      </c>
      <c r="V16" s="14">
        <f t="shared" si="1"/>
        <v>46714.280060317775</v>
      </c>
      <c r="W16" s="14">
        <f t="shared" si="4"/>
        <v>39427</v>
      </c>
      <c r="X16" s="14">
        <f t="shared" si="5"/>
        <v>38191</v>
      </c>
      <c r="Y16" s="14">
        <f t="shared" si="6"/>
        <v>37459.496007282636</v>
      </c>
      <c r="Z16" s="14">
        <f t="shared" si="2"/>
        <v>30102.503992717364</v>
      </c>
      <c r="AA16" s="14">
        <f t="shared" si="3"/>
        <v>32285</v>
      </c>
      <c r="AB16" s="14">
        <f t="shared" si="7"/>
        <v>32966</v>
      </c>
      <c r="AC16" s="14">
        <f t="shared" si="8"/>
        <v>11931</v>
      </c>
      <c r="AD16" s="14">
        <f t="shared" si="9"/>
        <v>1576</v>
      </c>
      <c r="AE16" s="31">
        <f t="shared" si="10"/>
        <v>-7046</v>
      </c>
    </row>
    <row r="17" spans="2:31" ht="16.5" thickBot="1" x14ac:dyDescent="0.3">
      <c r="B17" s="26"/>
      <c r="D17" s="93" t="s">
        <v>98</v>
      </c>
      <c r="E17" s="30">
        <v>-38752</v>
      </c>
      <c r="F17" s="30">
        <v>-26601.341855272254</v>
      </c>
      <c r="G17" s="30">
        <v>-35542</v>
      </c>
      <c r="H17" s="30">
        <v>-19631</v>
      </c>
      <c r="I17" s="30">
        <v>-33255.541249920563</v>
      </c>
      <c r="J17" s="30">
        <v>-44778</v>
      </c>
      <c r="K17" s="30">
        <v>-9827</v>
      </c>
      <c r="L17" s="30">
        <v>-19408</v>
      </c>
      <c r="M17" s="30">
        <v>-28784.250481820487</v>
      </c>
      <c r="N17" s="30">
        <v>-35043</v>
      </c>
      <c r="O17" s="30">
        <v>-8096</v>
      </c>
      <c r="P17" s="30">
        <v>-16275</v>
      </c>
      <c r="Q17" s="30">
        <v>-18872</v>
      </c>
      <c r="R17" s="30">
        <v>-19235</v>
      </c>
      <c r="S17" s="32">
        <v>1764</v>
      </c>
      <c r="U17" s="30">
        <f t="shared" si="0"/>
        <v>-13624.541249920563</v>
      </c>
      <c r="V17" s="30">
        <f t="shared" si="1"/>
        <v>-11522.458750079437</v>
      </c>
      <c r="W17" s="30">
        <f t="shared" si="4"/>
        <v>-9827</v>
      </c>
      <c r="X17" s="30">
        <f t="shared" si="5"/>
        <v>-9581</v>
      </c>
      <c r="Y17" s="30">
        <f t="shared" si="6"/>
        <v>-9376.250481820487</v>
      </c>
      <c r="Z17" s="30">
        <f t="shared" si="2"/>
        <v>-6258.749518179513</v>
      </c>
      <c r="AA17" s="30">
        <f t="shared" si="3"/>
        <v>-8096</v>
      </c>
      <c r="AB17" s="14">
        <f t="shared" si="7"/>
        <v>-8179</v>
      </c>
      <c r="AC17" s="30">
        <f t="shared" si="8"/>
        <v>-2597</v>
      </c>
      <c r="AD17" s="30">
        <f t="shared" si="9"/>
        <v>-363</v>
      </c>
      <c r="AE17" s="32">
        <f t="shared" si="10"/>
        <v>1764</v>
      </c>
    </row>
    <row r="18" spans="2:31" ht="16.5" thickBot="1" x14ac:dyDescent="0.3">
      <c r="B18" s="26"/>
      <c r="D18" s="94" t="s">
        <v>99</v>
      </c>
      <c r="E18" s="17">
        <f>SUM(E16:E17)</f>
        <v>117211</v>
      </c>
      <c r="F18" s="17">
        <f>SUM(F16:F17)</f>
        <v>81522.536984727238</v>
      </c>
      <c r="G18" s="17">
        <f t="shared" ref="G18:I18" si="26">SUM(G16:G17)</f>
        <v>107295</v>
      </c>
      <c r="H18" s="17">
        <f t="shared" si="26"/>
        <v>58889</v>
      </c>
      <c r="I18" s="17">
        <f t="shared" si="26"/>
        <v>99654.178689761669</v>
      </c>
      <c r="J18" s="17">
        <f t="shared" ref="J18:S18" si="27">SUM(J16:J17)</f>
        <v>134846</v>
      </c>
      <c r="K18" s="17">
        <f t="shared" si="27"/>
        <v>29600</v>
      </c>
      <c r="L18" s="17">
        <f t="shared" si="27"/>
        <v>58210</v>
      </c>
      <c r="M18" s="17">
        <f t="shared" si="27"/>
        <v>86293.245525462145</v>
      </c>
      <c r="N18" s="17">
        <f t="shared" si="27"/>
        <v>110137</v>
      </c>
      <c r="O18" s="17">
        <f t="shared" ref="O18" si="28">SUM(O16:O17)</f>
        <v>24189</v>
      </c>
      <c r="P18" s="17">
        <v>48976</v>
      </c>
      <c r="Q18" s="17">
        <f t="shared" si="27"/>
        <v>58310</v>
      </c>
      <c r="R18" s="17">
        <f t="shared" ref="R18" si="29">SUM(R16:R17)</f>
        <v>59523</v>
      </c>
      <c r="S18" s="24">
        <f t="shared" si="27"/>
        <v>-5282</v>
      </c>
      <c r="U18" s="17">
        <f t="shared" si="0"/>
        <v>40765.178689761669</v>
      </c>
      <c r="V18" s="17">
        <f t="shared" si="1"/>
        <v>35191.821310238331</v>
      </c>
      <c r="W18" s="17">
        <f t="shared" si="4"/>
        <v>29600</v>
      </c>
      <c r="X18" s="17">
        <f t="shared" si="5"/>
        <v>28610</v>
      </c>
      <c r="Y18" s="17">
        <f t="shared" si="6"/>
        <v>28083.245525462145</v>
      </c>
      <c r="Z18" s="17">
        <f>N18-M18</f>
        <v>23843.754474537855</v>
      </c>
      <c r="AA18" s="17">
        <f>O18</f>
        <v>24189</v>
      </c>
      <c r="AB18" s="17">
        <f t="shared" si="7"/>
        <v>24787</v>
      </c>
      <c r="AC18" s="17">
        <f t="shared" si="8"/>
        <v>9334</v>
      </c>
      <c r="AD18" s="17">
        <f t="shared" si="9"/>
        <v>1213</v>
      </c>
      <c r="AE18" s="24">
        <f t="shared" si="10"/>
        <v>-5282</v>
      </c>
    </row>
    <row r="19" spans="2:31" s="3" customFormat="1" ht="9" customHeight="1" x14ac:dyDescent="0.25"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</row>
    <row r="20" spans="2:31" s="3" customFormat="1" x14ac:dyDescent="0.25">
      <c r="E20" s="50"/>
      <c r="F20" s="50"/>
      <c r="G20" s="50"/>
      <c r="H20" s="50"/>
      <c r="I20" s="50"/>
      <c r="J20" s="50"/>
      <c r="K20" s="50"/>
      <c r="L20" s="50"/>
      <c r="M20" s="50"/>
      <c r="S20" s="92" t="s">
        <v>51</v>
      </c>
      <c r="T20" s="92"/>
      <c r="U20" s="50"/>
      <c r="V20" s="50"/>
      <c r="W20" s="50"/>
      <c r="X20" s="50"/>
      <c r="Y20" s="50"/>
      <c r="AC20" s="113"/>
      <c r="AE20" s="92" t="s">
        <v>51</v>
      </c>
    </row>
    <row r="21" spans="2:31" x14ac:dyDescent="0.25">
      <c r="D21" s="95"/>
      <c r="G21" s="2"/>
    </row>
    <row r="22" spans="2:31" x14ac:dyDescent="0.25">
      <c r="G22" s="6"/>
    </row>
    <row r="23" spans="2:31" ht="15.75" thickBot="1" x14ac:dyDescent="0.3">
      <c r="D23" s="33"/>
      <c r="E23" s="47" t="s">
        <v>6</v>
      </c>
      <c r="F23" s="16" t="s">
        <v>16</v>
      </c>
      <c r="G23" s="47" t="s">
        <v>3</v>
      </c>
      <c r="H23" s="16" t="s">
        <v>17</v>
      </c>
      <c r="I23" s="16" t="s">
        <v>14</v>
      </c>
      <c r="J23" s="47" t="s">
        <v>4</v>
      </c>
      <c r="K23" s="16" t="s">
        <v>21</v>
      </c>
      <c r="L23" s="16" t="s">
        <v>15</v>
      </c>
      <c r="M23" s="16" t="s">
        <v>13</v>
      </c>
      <c r="N23" s="16" t="s">
        <v>19</v>
      </c>
      <c r="O23" s="16" t="s">
        <v>22</v>
      </c>
      <c r="P23" s="16" t="s">
        <v>23</v>
      </c>
      <c r="Q23" s="16" t="s">
        <v>24</v>
      </c>
      <c r="R23" s="47" t="s">
        <v>25</v>
      </c>
      <c r="S23" s="110" t="s">
        <v>26</v>
      </c>
      <c r="U23" s="16" t="s">
        <v>67</v>
      </c>
      <c r="V23" s="16" t="s">
        <v>68</v>
      </c>
      <c r="W23" s="16" t="s">
        <v>69</v>
      </c>
      <c r="X23" s="16" t="s">
        <v>70</v>
      </c>
      <c r="Y23" s="16" t="s">
        <v>71</v>
      </c>
      <c r="Z23" s="16" t="s">
        <v>72</v>
      </c>
      <c r="AA23" s="16" t="s">
        <v>73</v>
      </c>
      <c r="AB23" s="16" t="s">
        <v>74</v>
      </c>
      <c r="AC23" s="16" t="s">
        <v>75</v>
      </c>
      <c r="AD23" s="16" t="s">
        <v>76</v>
      </c>
      <c r="AE23" s="21" t="s">
        <v>77</v>
      </c>
    </row>
    <row r="24" spans="2:31" x14ac:dyDescent="0.25">
      <c r="D24" s="91" t="s">
        <v>65</v>
      </c>
      <c r="E24" s="49">
        <f>-E7/E6</f>
        <v>0.64686526463054139</v>
      </c>
      <c r="F24" s="49">
        <f>-F7/F6</f>
        <v>0.67806693457017408</v>
      </c>
      <c r="G24" s="49">
        <f t="shared" ref="G24:I24" si="30">-G7/G6</f>
        <v>0.67970616382104021</v>
      </c>
      <c r="H24" s="49">
        <f t="shared" ref="H24" si="31">-H7/H6</f>
        <v>0.64370165745856356</v>
      </c>
      <c r="I24" s="49">
        <f t="shared" si="30"/>
        <v>0.61770867470308044</v>
      </c>
      <c r="J24" s="49">
        <f>-J7/J6</f>
        <v>0.61498308427572124</v>
      </c>
      <c r="K24" s="49">
        <f>-K7/K6</f>
        <v>0.65791687077722216</v>
      </c>
      <c r="L24" s="49">
        <f t="shared" ref="L24" si="32">-L7/L6</f>
        <v>0.65341645393389347</v>
      </c>
      <c r="M24" s="49">
        <f t="shared" ref="M24:S24" si="33">-M7/M6</f>
        <v>0.65935325154689928</v>
      </c>
      <c r="N24" s="49">
        <f t="shared" si="33"/>
        <v>0.67724146056316326</v>
      </c>
      <c r="O24" s="49">
        <f t="shared" si="33"/>
        <v>0.69145899659677246</v>
      </c>
      <c r="P24" s="49">
        <f t="shared" si="33"/>
        <v>0.70226536484213531</v>
      </c>
      <c r="Q24" s="49">
        <f t="shared" si="33"/>
        <v>0.72830126142696971</v>
      </c>
      <c r="R24" s="49">
        <f t="shared" ref="R24" si="34">-R7/R6</f>
        <v>0.75667825463250304</v>
      </c>
      <c r="S24" s="111">
        <f t="shared" si="33"/>
        <v>0.8630382592040301</v>
      </c>
      <c r="U24" s="49">
        <f t="shared" ref="U24:Z24" si="35">-U7/U6</f>
        <v>0.56634394796042486</v>
      </c>
      <c r="V24" s="49">
        <f t="shared" si="35"/>
        <v>0.60702079619173344</v>
      </c>
      <c r="W24" s="49">
        <f t="shared" si="35"/>
        <v>0.65791687077722216</v>
      </c>
      <c r="X24" s="49">
        <f t="shared" si="35"/>
        <v>0.64898204519892355</v>
      </c>
      <c r="Y24" s="49">
        <f t="shared" si="35"/>
        <v>0.67098447235863878</v>
      </c>
      <c r="Z24" s="49">
        <f t="shared" si="35"/>
        <v>0.72978463657366088</v>
      </c>
      <c r="AA24" s="49">
        <f t="shared" ref="AA24:AC24" si="36">-AA7/AA6</f>
        <v>0.69145899659677246</v>
      </c>
      <c r="AB24" s="49">
        <f t="shared" si="36"/>
        <v>0.71285344854631749</v>
      </c>
      <c r="AC24" s="49">
        <f t="shared" si="36"/>
        <v>0.77873172613984165</v>
      </c>
      <c r="AD24" s="49">
        <f>-AD7/AD6</f>
        <v>0.83901234567901239</v>
      </c>
      <c r="AE24" s="111">
        <f>-AE7/AE6</f>
        <v>0.8630382592040301</v>
      </c>
    </row>
    <row r="25" spans="2:31" ht="15.75" thickBot="1" x14ac:dyDescent="0.3">
      <c r="D25" s="91" t="s">
        <v>66</v>
      </c>
      <c r="E25" s="49">
        <f>-(E8+E9)/E6</f>
        <v>0.20880839996618844</v>
      </c>
      <c r="F25" s="49">
        <f>-(F8+F9)/F6</f>
        <v>0.19615531286821644</v>
      </c>
      <c r="G25" s="49">
        <f t="shared" ref="G25:I25" si="37">-(G8+G9)/G6</f>
        <v>0.19903201124991518</v>
      </c>
      <c r="H25" s="49">
        <f t="shared" ref="H25" si="38">-(H8+H9)/H6</f>
        <v>0.21349447513812156</v>
      </c>
      <c r="I25" s="49">
        <f t="shared" si="37"/>
        <v>0.21482060547230089</v>
      </c>
      <c r="J25" s="49">
        <f>-(J8+J9)/J6</f>
        <v>0.21883287765450474</v>
      </c>
      <c r="K25" s="49">
        <f>-(K8+K9)/K6</f>
        <v>0.19630660024215985</v>
      </c>
      <c r="L25" s="49">
        <f t="shared" ref="L25" si="39">-(L8+L9)/L6</f>
        <v>0.20176700084634386</v>
      </c>
      <c r="M25" s="49">
        <f t="shared" ref="M25:S25" si="40">-(M8+M9)/M6</f>
        <v>0.2045721926805609</v>
      </c>
      <c r="N25" s="49">
        <f t="shared" si="40"/>
        <v>0.20535544357944915</v>
      </c>
      <c r="O25" s="49">
        <f t="shared" si="40"/>
        <v>0.19826545175101548</v>
      </c>
      <c r="P25" s="49">
        <f t="shared" si="40"/>
        <v>0.19801285374395289</v>
      </c>
      <c r="Q25" s="49">
        <f t="shared" si="40"/>
        <v>0.20086085784200289</v>
      </c>
      <c r="R25" s="49">
        <f t="shared" ref="R25" si="41">-(R8+R9)/R6</f>
        <v>0.20629280950250209</v>
      </c>
      <c r="S25" s="111">
        <f t="shared" si="40"/>
        <v>0.21045404653725561</v>
      </c>
      <c r="U25" s="49">
        <f t="shared" ref="U25:Z25" si="42">-(U8+U9)/U6</f>
        <v>0.21744117129504786</v>
      </c>
      <c r="V25" s="49">
        <f t="shared" si="42"/>
        <v>0.23055395895321951</v>
      </c>
      <c r="W25" s="49">
        <f t="shared" si="42"/>
        <v>0.19630660024215985</v>
      </c>
      <c r="X25" s="49">
        <f t="shared" si="42"/>
        <v>0.20714731315486301</v>
      </c>
      <c r="Y25" s="49">
        <f t="shared" si="42"/>
        <v>0.21006805219438179</v>
      </c>
      <c r="Z25" s="49">
        <f t="shared" si="42"/>
        <v>0.20765609256019665</v>
      </c>
      <c r="AA25" s="49">
        <f t="shared" ref="AA25:AB25" si="43">-(AA8+AA9)/AA6</f>
        <v>0.19826545175101548</v>
      </c>
      <c r="AB25" s="49">
        <f t="shared" si="43"/>
        <v>0.1977653581208571</v>
      </c>
      <c r="AC25" s="49">
        <f>-(AC8+AC9)/AC6</f>
        <v>0.20637732506643047</v>
      </c>
      <c r="AD25" s="49">
        <f>-(AD8+AD9)/AD6</f>
        <v>0.22205328135152697</v>
      </c>
      <c r="AE25" s="111">
        <f>-(AE8+AE9)/AE6</f>
        <v>0.21045404653725561</v>
      </c>
    </row>
    <row r="26" spans="2:31" ht="15.75" thickBot="1" x14ac:dyDescent="0.3">
      <c r="D26" s="94" t="s">
        <v>60</v>
      </c>
      <c r="E26" s="51">
        <f>-(E7+E8+E9)/E6</f>
        <v>0.85567366459672989</v>
      </c>
      <c r="F26" s="51">
        <f>-(F7+F8+F9)/F6</f>
        <v>0.8742222474383905</v>
      </c>
      <c r="G26" s="51">
        <f t="shared" ref="G26:I26" si="44">-(G7+G8+G9)/G6</f>
        <v>0.87873817507095542</v>
      </c>
      <c r="H26" s="51">
        <f t="shared" ref="H26" si="45">-(H7+H8+H9)/H6</f>
        <v>0.85719613259668503</v>
      </c>
      <c r="I26" s="51">
        <f t="shared" si="44"/>
        <v>0.83252928017538153</v>
      </c>
      <c r="J26" s="51">
        <f>-(J7+J8+J9)/J6</f>
        <v>0.83381596193022589</v>
      </c>
      <c r="K26" s="51">
        <f>-(K7+K8+K9)/K6</f>
        <v>0.85422347101938201</v>
      </c>
      <c r="L26" s="51">
        <f t="shared" ref="L26" si="46">-(L7+L8+L9)/L6</f>
        <v>0.85518345478023727</v>
      </c>
      <c r="M26" s="51">
        <f t="shared" ref="M26:S26" si="47">-(M7+M8+M9)/M6</f>
        <v>0.8639254442274602</v>
      </c>
      <c r="N26" s="51">
        <f t="shared" si="47"/>
        <v>0.88259690414261249</v>
      </c>
      <c r="O26" s="51">
        <f t="shared" si="47"/>
        <v>0.88972444834778786</v>
      </c>
      <c r="P26" s="51">
        <f t="shared" si="47"/>
        <v>0.90027821858608814</v>
      </c>
      <c r="Q26" s="51">
        <f t="shared" si="47"/>
        <v>0.92916211926897252</v>
      </c>
      <c r="R26" s="51">
        <f t="shared" ref="R26" si="48">-(R7+R8+R9)/R6</f>
        <v>0.96297106413500522</v>
      </c>
      <c r="S26" s="112">
        <f t="shared" si="47"/>
        <v>1.0734923057412857</v>
      </c>
      <c r="U26" s="51">
        <f t="shared" ref="U26:Z26" si="49">-(U7+U8+U9)/U6</f>
        <v>0.78378511925547267</v>
      </c>
      <c r="V26" s="51">
        <f t="shared" si="49"/>
        <v>0.83757475514495305</v>
      </c>
      <c r="W26" s="51">
        <f t="shared" si="49"/>
        <v>0.85422347101938201</v>
      </c>
      <c r="X26" s="51">
        <f t="shared" si="49"/>
        <v>0.85612935835378656</v>
      </c>
      <c r="Y26" s="51">
        <f t="shared" si="49"/>
        <v>0.88105252455302052</v>
      </c>
      <c r="Z26" s="51">
        <f t="shared" si="49"/>
        <v>0.93744072913385756</v>
      </c>
      <c r="AA26" s="51">
        <f t="shared" ref="AA26:AC26" si="50">-(AA7+AA8+AA9)/AA6</f>
        <v>0.88972444834778786</v>
      </c>
      <c r="AB26" s="51">
        <f t="shared" si="50"/>
        <v>0.91061880666717465</v>
      </c>
      <c r="AC26" s="51">
        <f t="shared" si="50"/>
        <v>0.98510905120627212</v>
      </c>
      <c r="AD26" s="51">
        <f>-(AD7+AD8+AD9)/AD6</f>
        <v>1.0610656270305394</v>
      </c>
      <c r="AE26" s="112">
        <f>-(AE7+AE8+AE9)/AE6</f>
        <v>1.0734923057412857</v>
      </c>
    </row>
    <row r="29" spans="2:31" x14ac:dyDescent="0.25">
      <c r="AC29" s="76"/>
      <c r="AD29" s="76"/>
    </row>
  </sheetData>
  <hyperlinks>
    <hyperlink ref="B2" location="'Suplemento Financiero&gt;&gt;&gt;'!A1" display="ÍNDICE" xr:uid="{4FD03633-2F3C-4042-8B4C-39B45529EDDD}"/>
  </hyperlinks>
  <pageMargins left="0.7" right="0.7" top="0.75" bottom="0.75" header="0.3" footer="0.3"/>
  <pageSetup paperSize="9" scale="63" orientation="landscape" r:id="rId1"/>
  <colBreaks count="1" manualBreakCount="1">
    <brk id="28" max="1048575" man="1"/>
  </colBreaks>
  <ignoredErrors>
    <ignoredError sqref="R10:S10 E10:O10 Q10" formulaRange="1"/>
    <ignoredError sqref="W5:W18 AA5:AA18" formula="1"/>
    <ignoredError sqref="Q25:Q26 AC24 AC26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663-AE37-4F08-8182-5E64427F7F30}">
  <sheetPr>
    <tabColor theme="2" tint="-9.9978637043366805E-2"/>
  </sheetPr>
  <dimension ref="B1:T30"/>
  <sheetViews>
    <sheetView showGridLines="0" zoomScaleNormal="100" workbookViewId="0"/>
  </sheetViews>
  <sheetFormatPr baseColWidth="10" defaultColWidth="11.42578125" defaultRowHeight="15" outlineLevelCol="1" x14ac:dyDescent="0.25"/>
  <cols>
    <col min="1" max="1" width="1.5703125" style="3" customWidth="1"/>
    <col min="2" max="2" width="10.7109375" style="3" customWidth="1"/>
    <col min="3" max="3" width="1.5703125" style="3" customWidth="1"/>
    <col min="4" max="4" width="14.28515625" style="3" customWidth="1"/>
    <col min="5" max="5" width="11.28515625" style="3" customWidth="1"/>
    <col min="6" max="6" width="11.28515625" style="3" hidden="1" customWidth="1" outlineLevel="1"/>
    <col min="7" max="7" width="11.28515625" style="3" customWidth="1" collapsed="1"/>
    <col min="8" max="9" width="11.28515625" style="3" hidden="1" customWidth="1" outlineLevel="1"/>
    <col min="10" max="10" width="11.28515625" style="3" customWidth="1" collapsed="1"/>
    <col min="11" max="13" width="11.28515625" style="3" hidden="1" customWidth="1" outlineLevel="1"/>
    <col min="14" max="14" width="11.28515625" style="3" customWidth="1" collapsed="1"/>
    <col min="15" max="15" width="11.28515625" style="3" customWidth="1"/>
    <col min="16" max="17" width="11.28515625" style="3" hidden="1" customWidth="1" outlineLevel="1"/>
    <col min="18" max="18" width="11.28515625" style="3" customWidth="1" collapsed="1"/>
    <col min="19" max="20" width="11.28515625" style="3" customWidth="1"/>
    <col min="21" max="16384" width="11.42578125" style="3"/>
  </cols>
  <sheetData>
    <row r="1" spans="2:20" ht="16.5" customHeight="1" x14ac:dyDescent="0.25"/>
    <row r="2" spans="2:20" ht="18.75" customHeight="1" thickBot="1" x14ac:dyDescent="0.3">
      <c r="B2" s="163" t="s">
        <v>37</v>
      </c>
      <c r="D2" s="19" t="s">
        <v>145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2:20" x14ac:dyDescent="0.25">
      <c r="B3" s="34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2:20" x14ac:dyDescent="0.25">
      <c r="B4" s="34"/>
      <c r="D4" s="37"/>
      <c r="E4" s="165" t="s">
        <v>58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5" spans="2:20" ht="15.75" thickBot="1" x14ac:dyDescent="0.3">
      <c r="B5" s="34"/>
      <c r="D5" s="33"/>
      <c r="E5" s="44" t="s">
        <v>6</v>
      </c>
      <c r="F5" s="44" t="s">
        <v>16</v>
      </c>
      <c r="G5" s="44" t="s">
        <v>3</v>
      </c>
      <c r="H5" s="44" t="s">
        <v>17</v>
      </c>
      <c r="I5" s="44" t="s">
        <v>14</v>
      </c>
      <c r="J5" s="44" t="s">
        <v>4</v>
      </c>
      <c r="K5" s="44" t="s">
        <v>21</v>
      </c>
      <c r="L5" s="44" t="s">
        <v>15</v>
      </c>
      <c r="M5" s="44" t="s">
        <v>13</v>
      </c>
      <c r="N5" s="44" t="s">
        <v>19</v>
      </c>
      <c r="O5" s="44" t="s">
        <v>22</v>
      </c>
      <c r="P5" s="44" t="s">
        <v>23</v>
      </c>
      <c r="Q5" s="44" t="s">
        <v>24</v>
      </c>
      <c r="R5" s="44" t="s">
        <v>25</v>
      </c>
      <c r="S5" s="114" t="s">
        <v>26</v>
      </c>
      <c r="T5" s="115" t="s">
        <v>0</v>
      </c>
    </row>
    <row r="6" spans="2:20" x14ac:dyDescent="0.25">
      <c r="B6" s="34"/>
      <c r="D6" s="91" t="s">
        <v>20</v>
      </c>
      <c r="E6" s="48">
        <v>741178</v>
      </c>
      <c r="F6" s="48">
        <v>573625.1777</v>
      </c>
      <c r="G6" s="48">
        <v>761158.29799999995</v>
      </c>
      <c r="H6" s="48">
        <v>377490.58504999999</v>
      </c>
      <c r="I6" s="48">
        <v>567177.75003999996</v>
      </c>
      <c r="J6" s="48">
        <v>754656.36600000004</v>
      </c>
      <c r="K6" s="48">
        <v>178953</v>
      </c>
      <c r="L6" s="48">
        <v>373701</v>
      </c>
      <c r="M6" s="48">
        <v>563300.91514000006</v>
      </c>
      <c r="N6" s="48">
        <v>748100</v>
      </c>
      <c r="O6" s="48">
        <v>181928</v>
      </c>
      <c r="P6" s="48">
        <v>383206</v>
      </c>
      <c r="Q6" s="48">
        <v>579419</v>
      </c>
      <c r="R6" s="13">
        <v>772787</v>
      </c>
      <c r="S6" s="23">
        <v>191528</v>
      </c>
      <c r="T6" s="116">
        <f t="shared" ref="T6:T9" si="0">+S6/O6-1</f>
        <v>5.2768128050657337E-2</v>
      </c>
    </row>
    <row r="7" spans="2:20" x14ac:dyDescent="0.25">
      <c r="B7" s="34"/>
      <c r="D7" s="91" t="s">
        <v>31</v>
      </c>
      <c r="E7" s="48">
        <v>100691</v>
      </c>
      <c r="F7" s="48">
        <v>82446.400180000026</v>
      </c>
      <c r="G7" s="48">
        <v>111356.549</v>
      </c>
      <c r="H7" s="48">
        <v>59705.956969999999</v>
      </c>
      <c r="I7" s="48">
        <v>89543.79578</v>
      </c>
      <c r="J7" s="48">
        <v>120653.628</v>
      </c>
      <c r="K7" s="48">
        <v>31764</v>
      </c>
      <c r="L7" s="48">
        <v>64779</v>
      </c>
      <c r="M7" s="48">
        <v>97044.810309999986</v>
      </c>
      <c r="N7" s="48">
        <v>131243</v>
      </c>
      <c r="O7" s="48">
        <v>35256</v>
      </c>
      <c r="P7" s="48">
        <v>71667</v>
      </c>
      <c r="Q7" s="48">
        <v>106896</v>
      </c>
      <c r="R7" s="13">
        <v>143713</v>
      </c>
      <c r="S7" s="23">
        <v>37607</v>
      </c>
      <c r="T7" s="116">
        <f t="shared" si="0"/>
        <v>6.6683685046516894E-2</v>
      </c>
    </row>
    <row r="8" spans="2:20" x14ac:dyDescent="0.25">
      <c r="B8" s="34"/>
      <c r="D8" s="91" t="s">
        <v>32</v>
      </c>
      <c r="E8" s="48">
        <v>7518</v>
      </c>
      <c r="F8" s="48">
        <v>12243.391560000002</v>
      </c>
      <c r="G8" s="48">
        <v>15744</v>
      </c>
      <c r="H8" s="48">
        <v>13257.647209999999</v>
      </c>
      <c r="I8" s="48">
        <v>16876.646899999996</v>
      </c>
      <c r="J8" s="48">
        <v>21826</v>
      </c>
      <c r="K8" s="48">
        <v>12002</v>
      </c>
      <c r="L8" s="48">
        <v>16622</v>
      </c>
      <c r="M8" s="48">
        <v>20912.694649999998</v>
      </c>
      <c r="N8" s="48">
        <v>26449</v>
      </c>
      <c r="O8" s="48">
        <v>13760</v>
      </c>
      <c r="P8" s="48">
        <v>18848</v>
      </c>
      <c r="Q8" s="48">
        <v>23304</v>
      </c>
      <c r="R8" s="13">
        <v>29082</v>
      </c>
      <c r="S8" s="23">
        <v>14335</v>
      </c>
      <c r="T8" s="116">
        <f t="shared" si="0"/>
        <v>4.1787790697674465E-2</v>
      </c>
    </row>
    <row r="9" spans="2:20" ht="15.75" thickBot="1" x14ac:dyDescent="0.3">
      <c r="B9" s="34"/>
      <c r="D9" s="91" t="s">
        <v>33</v>
      </c>
      <c r="E9" s="48">
        <v>3733</v>
      </c>
      <c r="F9" s="48">
        <v>2922.9176800000005</v>
      </c>
      <c r="G9" s="48">
        <v>3036</v>
      </c>
      <c r="H9" s="48">
        <v>1455.98549</v>
      </c>
      <c r="I9" s="48">
        <v>1458.5712900000001</v>
      </c>
      <c r="J9" s="48">
        <v>1478</v>
      </c>
      <c r="K9" s="48">
        <v>1349</v>
      </c>
      <c r="L9" s="48">
        <v>1363</v>
      </c>
      <c r="M9" s="48">
        <v>1379.12904</v>
      </c>
      <c r="N9" s="48">
        <v>1397</v>
      </c>
      <c r="O9" s="48">
        <v>1061</v>
      </c>
      <c r="P9" s="48">
        <v>1068</v>
      </c>
      <c r="Q9" s="48">
        <v>1082</v>
      </c>
      <c r="R9" s="13">
        <v>1097</v>
      </c>
      <c r="S9" s="23">
        <v>741</v>
      </c>
      <c r="T9" s="116">
        <f t="shared" si="0"/>
        <v>-0.30160226201696516</v>
      </c>
    </row>
    <row r="10" spans="2:20" ht="15.75" thickBot="1" x14ac:dyDescent="0.3">
      <c r="B10" s="34"/>
      <c r="D10" s="94" t="s">
        <v>1</v>
      </c>
      <c r="E10" s="77">
        <f t="shared" ref="E10:K10" si="1">SUM(E6:E9)</f>
        <v>853120</v>
      </c>
      <c r="F10" s="77">
        <f>SUM(F6:F9)</f>
        <v>671237.88711999997</v>
      </c>
      <c r="G10" s="77">
        <f t="shared" si="1"/>
        <v>891294.84699999995</v>
      </c>
      <c r="H10" s="77">
        <f>SUM(H6:H9)</f>
        <v>451910.17472000001</v>
      </c>
      <c r="I10" s="77">
        <f>SUM(I6:I9)</f>
        <v>675056.76401000004</v>
      </c>
      <c r="J10" s="77">
        <f t="shared" si="1"/>
        <v>898613.99400000006</v>
      </c>
      <c r="K10" s="77">
        <f t="shared" si="1"/>
        <v>224068</v>
      </c>
      <c r="L10" s="77">
        <f>SUM(L6:L9)</f>
        <v>456465</v>
      </c>
      <c r="M10" s="77">
        <f>SUM(M6:M9)</f>
        <v>682637.54914000002</v>
      </c>
      <c r="N10" s="77">
        <f>SUM(N6:N9)</f>
        <v>907189</v>
      </c>
      <c r="O10" s="77">
        <f>SUM(O6:O9)</f>
        <v>232005</v>
      </c>
      <c r="P10" s="77">
        <v>474789</v>
      </c>
      <c r="Q10" s="77">
        <f>SUM(Q6:Q9)</f>
        <v>710701</v>
      </c>
      <c r="R10" s="18">
        <f>SUM(R6:R9)</f>
        <v>946679</v>
      </c>
      <c r="S10" s="25">
        <f>SUM(S6:S9)</f>
        <v>244211</v>
      </c>
      <c r="T10" s="117">
        <f>+S10/O10-1</f>
        <v>5.2610935109157042E-2</v>
      </c>
    </row>
    <row r="11" spans="2:20" x14ac:dyDescent="0.25">
      <c r="B11" s="34"/>
      <c r="D11" s="27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6"/>
    </row>
    <row r="13" spans="2:20" x14ac:dyDescent="0.25">
      <c r="D13" s="37"/>
      <c r="E13" s="165" t="s">
        <v>59</v>
      </c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</row>
    <row r="14" spans="2:20" ht="15.75" thickBot="1" x14ac:dyDescent="0.3">
      <c r="D14" s="33"/>
      <c r="E14" s="44" t="s">
        <v>6</v>
      </c>
      <c r="F14" s="44" t="s">
        <v>16</v>
      </c>
      <c r="G14" s="44" t="s">
        <v>3</v>
      </c>
      <c r="H14" s="44" t="s">
        <v>17</v>
      </c>
      <c r="I14" s="44" t="s">
        <v>14</v>
      </c>
      <c r="J14" s="44" t="s">
        <v>4</v>
      </c>
      <c r="K14" s="44" t="s">
        <v>21</v>
      </c>
      <c r="L14" s="44" t="s">
        <v>15</v>
      </c>
      <c r="M14" s="44" t="s">
        <v>13</v>
      </c>
      <c r="N14" s="44" t="s">
        <v>19</v>
      </c>
      <c r="O14" s="44" t="s">
        <v>22</v>
      </c>
      <c r="P14" s="44" t="s">
        <v>23</v>
      </c>
      <c r="Q14" s="44" t="s">
        <v>24</v>
      </c>
      <c r="R14" s="44" t="s">
        <v>25</v>
      </c>
      <c r="S14" s="114" t="s">
        <v>26</v>
      </c>
      <c r="T14" s="118" t="s">
        <v>0</v>
      </c>
    </row>
    <row r="15" spans="2:20" x14ac:dyDescent="0.25">
      <c r="D15" s="91" t="s">
        <v>20</v>
      </c>
      <c r="E15" s="48">
        <v>114974</v>
      </c>
      <c r="F15" s="48">
        <v>77269.079859267789</v>
      </c>
      <c r="G15" s="48">
        <v>106533</v>
      </c>
      <c r="H15" s="48">
        <v>58351</v>
      </c>
      <c r="I15" s="48">
        <v>108794.48834439731</v>
      </c>
      <c r="J15" s="48">
        <v>146481</v>
      </c>
      <c r="K15" s="48">
        <v>31111</v>
      </c>
      <c r="L15" s="48">
        <v>60590</v>
      </c>
      <c r="M15" s="48">
        <v>85631.862512646418</v>
      </c>
      <c r="N15" s="48">
        <v>96993</v>
      </c>
      <c r="O15" s="48">
        <v>21431</v>
      </c>
      <c r="P15" s="48">
        <v>39705</v>
      </c>
      <c r="Q15" s="48">
        <v>45364</v>
      </c>
      <c r="R15" s="13">
        <v>34655</v>
      </c>
      <c r="S15" s="23">
        <v>-15052</v>
      </c>
      <c r="T15" s="116">
        <f t="shared" ref="T15:T18" si="2">+S15/O15-1</f>
        <v>-1.7023470673323691</v>
      </c>
    </row>
    <row r="16" spans="2:20" x14ac:dyDescent="0.25">
      <c r="D16" s="91" t="s">
        <v>31</v>
      </c>
      <c r="E16" s="48">
        <v>8694</v>
      </c>
      <c r="F16" s="48">
        <v>8624.6461006365007</v>
      </c>
      <c r="G16" s="48">
        <v>12347</v>
      </c>
      <c r="H16" s="48">
        <v>6097</v>
      </c>
      <c r="I16" s="48">
        <v>5427.218407247964</v>
      </c>
      <c r="J16" s="48">
        <v>6684</v>
      </c>
      <c r="K16" s="48">
        <v>500</v>
      </c>
      <c r="L16" s="48">
        <v>5090</v>
      </c>
      <c r="M16" s="48">
        <v>8590.3283707111441</v>
      </c>
      <c r="N16" s="48">
        <v>13171</v>
      </c>
      <c r="O16" s="48">
        <v>2338</v>
      </c>
      <c r="P16" s="48">
        <v>6312</v>
      </c>
      <c r="Q16" s="48">
        <v>6339</v>
      </c>
      <c r="R16" s="13">
        <v>5729</v>
      </c>
      <c r="S16" s="23">
        <v>529</v>
      </c>
      <c r="T16" s="116">
        <f t="shared" si="2"/>
        <v>-0.7737382378100941</v>
      </c>
    </row>
    <row r="17" spans="4:20" x14ac:dyDescent="0.25">
      <c r="D17" s="91" t="s">
        <v>32</v>
      </c>
      <c r="E17" s="48">
        <v>-7042</v>
      </c>
      <c r="F17" s="48">
        <v>-6229.9020976889951</v>
      </c>
      <c r="G17" s="48">
        <v>-16346</v>
      </c>
      <c r="H17" s="48">
        <v>-2658</v>
      </c>
      <c r="I17" s="48">
        <v>-5037.0967525568076</v>
      </c>
      <c r="J17" s="48">
        <v>-7890</v>
      </c>
      <c r="K17" s="48">
        <v>-161</v>
      </c>
      <c r="L17" s="48">
        <v>-3006</v>
      </c>
      <c r="M17" s="48">
        <v>-5209.2778021447957</v>
      </c>
      <c r="N17" s="48">
        <v>-7210</v>
      </c>
      <c r="O17" s="48">
        <v>75</v>
      </c>
      <c r="P17" s="48">
        <v>-2371</v>
      </c>
      <c r="Q17" s="48">
        <v>-4704</v>
      </c>
      <c r="R17" s="13">
        <v>-7386</v>
      </c>
      <c r="S17" s="23">
        <v>-2386</v>
      </c>
      <c r="T17" s="116">
        <f t="shared" si="2"/>
        <v>-32.813333333333333</v>
      </c>
    </row>
    <row r="18" spans="4:20" ht="15.75" thickBot="1" x14ac:dyDescent="0.3">
      <c r="D18" s="91" t="s">
        <v>33</v>
      </c>
      <c r="E18" s="48">
        <v>1186</v>
      </c>
      <c r="F18" s="48">
        <v>1003.9744355210007</v>
      </c>
      <c r="G18" s="48">
        <v>1116</v>
      </c>
      <c r="H18" s="48">
        <v>248</v>
      </c>
      <c r="I18" s="48">
        <v>379.24984877120119</v>
      </c>
      <c r="J18" s="48">
        <v>664</v>
      </c>
      <c r="K18" s="48">
        <v>94</v>
      </c>
      <c r="L18" s="48">
        <v>465</v>
      </c>
      <c r="M18" s="48">
        <v>596.55913451119875</v>
      </c>
      <c r="N18" s="48">
        <v>681</v>
      </c>
      <c r="O18" s="48">
        <v>264</v>
      </c>
      <c r="P18" s="48">
        <v>405</v>
      </c>
      <c r="Q18" s="48">
        <v>448</v>
      </c>
      <c r="R18" s="13">
        <v>352</v>
      </c>
      <c r="S18" s="23">
        <v>103</v>
      </c>
      <c r="T18" s="116">
        <f t="shared" si="2"/>
        <v>-0.60984848484848486</v>
      </c>
    </row>
    <row r="19" spans="4:20" ht="15.75" thickBot="1" x14ac:dyDescent="0.3">
      <c r="D19" s="94" t="s">
        <v>1</v>
      </c>
      <c r="E19" s="77">
        <f t="shared" ref="E19:K19" si="3">SUM(E15:E18)</f>
        <v>117812</v>
      </c>
      <c r="F19" s="77">
        <f>SUM(F15:F18)</f>
        <v>80667.798297736299</v>
      </c>
      <c r="G19" s="77">
        <f t="shared" si="3"/>
        <v>103650</v>
      </c>
      <c r="H19" s="77">
        <f>SUM(H15:H18)</f>
        <v>62038</v>
      </c>
      <c r="I19" s="77">
        <f>SUM(I15:I18)</f>
        <v>109563.85984785965</v>
      </c>
      <c r="J19" s="77">
        <f t="shared" si="3"/>
        <v>145939</v>
      </c>
      <c r="K19" s="77">
        <f t="shared" si="3"/>
        <v>31544</v>
      </c>
      <c r="L19" s="77">
        <f>SUM(L15:L18)</f>
        <v>63139</v>
      </c>
      <c r="M19" s="77">
        <f>SUM(M15:M18)</f>
        <v>89609.472215723959</v>
      </c>
      <c r="N19" s="77">
        <f>SUM(N15:N18)</f>
        <v>103635</v>
      </c>
      <c r="O19" s="77">
        <f>SUM(O15:O18)</f>
        <v>24108</v>
      </c>
      <c r="P19" s="77">
        <v>44051</v>
      </c>
      <c r="Q19" s="77">
        <f>SUM(Q15:Q18)</f>
        <v>47447</v>
      </c>
      <c r="R19" s="18">
        <f>SUM(R15:R18)</f>
        <v>33350</v>
      </c>
      <c r="S19" s="25">
        <f>SUM(S15:S18)</f>
        <v>-16806</v>
      </c>
      <c r="T19" s="117">
        <f>+S19/O19-1</f>
        <v>-1.6971129915380785</v>
      </c>
    </row>
    <row r="22" spans="4:20" x14ac:dyDescent="0.25">
      <c r="D22" s="37"/>
      <c r="E22" s="165" t="s">
        <v>60</v>
      </c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</row>
    <row r="23" spans="4:20" ht="15.75" thickBot="1" x14ac:dyDescent="0.3">
      <c r="D23" s="33"/>
      <c r="E23" s="44" t="s">
        <v>6</v>
      </c>
      <c r="F23" s="44" t="s">
        <v>16</v>
      </c>
      <c r="G23" s="44" t="s">
        <v>3</v>
      </c>
      <c r="H23" s="44" t="s">
        <v>17</v>
      </c>
      <c r="I23" s="44" t="s">
        <v>14</v>
      </c>
      <c r="J23" s="44" t="s">
        <v>4</v>
      </c>
      <c r="K23" s="44" t="s">
        <v>21</v>
      </c>
      <c r="L23" s="44" t="s">
        <v>15</v>
      </c>
      <c r="M23" s="44" t="s">
        <v>13</v>
      </c>
      <c r="N23" s="44" t="s">
        <v>19</v>
      </c>
      <c r="O23" s="44" t="s">
        <v>22</v>
      </c>
      <c r="P23" s="44" t="s">
        <v>23</v>
      </c>
      <c r="Q23" s="44" t="s">
        <v>24</v>
      </c>
      <c r="R23" s="44" t="s">
        <v>25</v>
      </c>
      <c r="S23" s="114" t="s">
        <v>26</v>
      </c>
      <c r="T23" s="119" t="s">
        <v>18</v>
      </c>
    </row>
    <row r="24" spans="4:20" x14ac:dyDescent="0.25">
      <c r="D24" s="91" t="s">
        <v>20</v>
      </c>
      <c r="E24" s="45">
        <v>0.83998519180371911</v>
      </c>
      <c r="F24" s="45">
        <v>0.86158632267781621</v>
      </c>
      <c r="G24" s="45">
        <v>0.85763501441249534</v>
      </c>
      <c r="H24" s="45">
        <v>0.84404485621970904</v>
      </c>
      <c r="I24" s="45">
        <v>0.80661844089481582</v>
      </c>
      <c r="J24" s="45">
        <v>0.80536802173783062</v>
      </c>
      <c r="K24" s="45">
        <v>0.83116221798944634</v>
      </c>
      <c r="L24" s="45">
        <v>0.83659919203033395</v>
      </c>
      <c r="M24" s="45">
        <v>0.84690835828096978</v>
      </c>
      <c r="N24" s="45">
        <v>0.87021020482720701</v>
      </c>
      <c r="O24" s="45">
        <v>0.88320280779774274</v>
      </c>
      <c r="P24" s="45">
        <v>0.89279668224564013</v>
      </c>
      <c r="Q24" s="45">
        <v>0.91914849628750372</v>
      </c>
      <c r="R24" s="45">
        <v>0.95399440843884997</v>
      </c>
      <c r="S24" s="129">
        <v>1.0792177171487516</v>
      </c>
      <c r="T24" s="120">
        <f t="shared" ref="T24:T27" si="4">(S24-O24)*100</f>
        <v>19.601490935100884</v>
      </c>
    </row>
    <row r="25" spans="4:20" x14ac:dyDescent="0.25">
      <c r="D25" s="91" t="s">
        <v>31</v>
      </c>
      <c r="E25" s="45">
        <v>0.90591520031166817</v>
      </c>
      <c r="F25" s="45">
        <v>0.88654844417606182</v>
      </c>
      <c r="G25" s="45">
        <v>0.87972920319501269</v>
      </c>
      <c r="H25" s="45">
        <v>0.88768668779024995</v>
      </c>
      <c r="I25" s="45">
        <v>0.93426737590583953</v>
      </c>
      <c r="J25" s="45">
        <v>0.94007853262331231</v>
      </c>
      <c r="K25" s="45">
        <v>0.98259656541624618</v>
      </c>
      <c r="L25" s="45">
        <v>0.91249183371729181</v>
      </c>
      <c r="M25" s="45">
        <v>0.90270149047864323</v>
      </c>
      <c r="N25" s="45">
        <v>0.88937857458516889</v>
      </c>
      <c r="O25" s="45">
        <v>0.92431697526867795</v>
      </c>
      <c r="P25" s="45">
        <v>0.89984290950635504</v>
      </c>
      <c r="Q25" s="45">
        <v>0.93413478522890214</v>
      </c>
      <c r="R25" s="45">
        <v>0.95586252590543841</v>
      </c>
      <c r="S25" s="129">
        <v>0.98463683094705656</v>
      </c>
      <c r="T25" s="120">
        <f t="shared" si="4"/>
        <v>6.0319855678378609</v>
      </c>
    </row>
    <row r="26" spans="4:20" x14ac:dyDescent="0.25">
      <c r="D26" s="91" t="s">
        <v>32</v>
      </c>
      <c r="E26" s="45">
        <v>4.2799254774103401</v>
      </c>
      <c r="F26" s="45">
        <v>2.3088475175085561</v>
      </c>
      <c r="G26" s="45">
        <v>22.852941176470587</v>
      </c>
      <c r="H26" s="45">
        <v>1.5441852187619376</v>
      </c>
      <c r="I26" s="45">
        <v>1.6647337419040928</v>
      </c>
      <c r="J26" s="45">
        <v>1.656405990016639</v>
      </c>
      <c r="K26" s="45">
        <v>1.0528599565326944</v>
      </c>
      <c r="L26" s="45">
        <v>1.4739829706717125</v>
      </c>
      <c r="M26" s="45">
        <v>1.5282904972535181</v>
      </c>
      <c r="N26" s="45">
        <v>1.4811908131874167</v>
      </c>
      <c r="O26" s="45">
        <v>0.98002131060202446</v>
      </c>
      <c r="P26" s="45">
        <v>1.3115637319316689</v>
      </c>
      <c r="Q26" s="45">
        <v>1.40635798203179</v>
      </c>
      <c r="R26" s="45">
        <v>1.4475007573462586</v>
      </c>
      <c r="S26" s="129">
        <v>1.5962018990504747</v>
      </c>
      <c r="T26" s="120">
        <f t="shared" si="4"/>
        <v>61.618058844845024</v>
      </c>
    </row>
    <row r="27" spans="4:20" ht="15.75" thickBot="1" x14ac:dyDescent="0.3">
      <c r="D27" s="91" t="s">
        <v>33</v>
      </c>
      <c r="E27" s="45">
        <v>0.63110419906687398</v>
      </c>
      <c r="F27" s="45">
        <v>0.56801466267811263</v>
      </c>
      <c r="G27" s="45">
        <v>0.63316912972085382</v>
      </c>
      <c r="H27" s="45">
        <v>0.76975401576572056</v>
      </c>
      <c r="I27" s="45">
        <v>0.7462364568024481</v>
      </c>
      <c r="J27" s="45">
        <v>0.66899302093718838</v>
      </c>
      <c r="K27" s="45">
        <v>0.71274124047723175</v>
      </c>
      <c r="L27" s="45">
        <v>0.31556677519061266</v>
      </c>
      <c r="M27" s="45">
        <v>0.42239009208261347</v>
      </c>
      <c r="N27" s="45">
        <v>0.50931268712671374</v>
      </c>
      <c r="O27" s="45">
        <v>0.45114345114345117</v>
      </c>
      <c r="P27" s="45">
        <v>0.45047489823609227</v>
      </c>
      <c r="Q27" s="45">
        <v>0.50277469478357384</v>
      </c>
      <c r="R27" s="45">
        <v>0.66948356807511733</v>
      </c>
      <c r="S27" s="129">
        <v>0.55982905982905984</v>
      </c>
      <c r="T27" s="120">
        <f t="shared" si="4"/>
        <v>10.868560868560866</v>
      </c>
    </row>
    <row r="28" spans="4:20" ht="15.75" thickBot="1" x14ac:dyDescent="0.3">
      <c r="D28" s="94" t="s">
        <v>1</v>
      </c>
      <c r="E28" s="46">
        <v>0.85567366459672978</v>
      </c>
      <c r="F28" s="46">
        <v>0.8742222474383905</v>
      </c>
      <c r="G28" s="46">
        <v>0.87873817507095542</v>
      </c>
      <c r="H28" s="46">
        <v>0.85718813439399422</v>
      </c>
      <c r="I28" s="46">
        <v>0.83252928017538141</v>
      </c>
      <c r="J28" s="46">
        <v>0.833815961930226</v>
      </c>
      <c r="K28" s="46">
        <v>0.85421891600437738</v>
      </c>
      <c r="L28" s="46">
        <v>0.85518345478023727</v>
      </c>
      <c r="M28" s="46">
        <v>0.8639254442274602</v>
      </c>
      <c r="N28" s="46">
        <v>0.88259779338749644</v>
      </c>
      <c r="O28" s="46">
        <v>0.88972444834778797</v>
      </c>
      <c r="P28" s="46">
        <v>0.90027821858608814</v>
      </c>
      <c r="Q28" s="46">
        <v>0.92916211926897252</v>
      </c>
      <c r="R28" s="46">
        <v>0.96297106413500522</v>
      </c>
      <c r="S28" s="130">
        <v>1.0734923057412857</v>
      </c>
      <c r="T28" s="74">
        <f>(S28-O28)*100</f>
        <v>18.376785739349778</v>
      </c>
    </row>
    <row r="29" spans="4:20" x14ac:dyDescent="0.2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6"/>
    </row>
    <row r="30" spans="4:20" x14ac:dyDescent="0.25"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92" t="s">
        <v>52</v>
      </c>
    </row>
  </sheetData>
  <mergeCells count="3">
    <mergeCell ref="E4:T4"/>
    <mergeCell ref="E13:T13"/>
    <mergeCell ref="E22:T22"/>
  </mergeCells>
  <hyperlinks>
    <hyperlink ref="B2" location="'Suplemento Financiero&gt;&gt;&gt;'!A1" display="ÍNDICE" xr:uid="{435668EF-9ABF-4726-AE27-762BCE76C738}"/>
  </hyperlinks>
  <pageMargins left="0.7" right="0.7" top="0.75" bottom="0.75" header="0.3" footer="0.3"/>
  <pageSetup paperSize="9" scale="66" orientation="landscape" r:id="rId1"/>
  <ignoredErrors>
    <ignoredError sqref="N11" formulaRange="1"/>
    <ignoredError sqref="T11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54A-E58B-4361-993C-87A2CE9E8C9E}">
  <sheetPr>
    <tabColor theme="2" tint="-9.9978637043366805E-2"/>
  </sheetPr>
  <dimension ref="B1:AF20"/>
  <sheetViews>
    <sheetView showGridLines="0" zoomScaleNormal="100" workbookViewId="0"/>
  </sheetViews>
  <sheetFormatPr baseColWidth="10" defaultColWidth="10.85546875" defaultRowHeight="15" outlineLevelCol="1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customWidth="1"/>
    <col min="16" max="17" width="11" style="4" hidden="1" customWidth="1" outlineLevel="1"/>
    <col min="18" max="18" width="11" style="4" customWidth="1" collapsed="1"/>
    <col min="19" max="20" width="11" style="4" customWidth="1"/>
    <col min="21" max="21" width="3" style="1" customWidth="1"/>
    <col min="22" max="16384" width="10.85546875" style="4"/>
  </cols>
  <sheetData>
    <row r="1" spans="2:32" ht="16.5" customHeight="1" x14ac:dyDescent="0.2"/>
    <row r="2" spans="2:32" ht="18.75" customHeight="1" thickBot="1" x14ac:dyDescent="0.25">
      <c r="B2" s="163" t="s">
        <v>37</v>
      </c>
      <c r="D2" s="19" t="s">
        <v>146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V2" s="19" t="s">
        <v>57</v>
      </c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4" spans="2:32" s="3" customFormat="1" ht="15.75" thickBot="1" x14ac:dyDescent="0.3">
      <c r="D4" s="33"/>
      <c r="E4" s="47" t="s">
        <v>6</v>
      </c>
      <c r="F4" s="47" t="s">
        <v>16</v>
      </c>
      <c r="G4" s="47" t="s">
        <v>3</v>
      </c>
      <c r="H4" s="47" t="s">
        <v>17</v>
      </c>
      <c r="I4" s="47" t="s">
        <v>14</v>
      </c>
      <c r="J4" s="47" t="s">
        <v>4</v>
      </c>
      <c r="K4" s="47" t="s">
        <v>21</v>
      </c>
      <c r="L4" s="47" t="s">
        <v>15</v>
      </c>
      <c r="M4" s="47" t="s">
        <v>13</v>
      </c>
      <c r="N4" s="47" t="s">
        <v>19</v>
      </c>
      <c r="O4" s="47" t="s">
        <v>22</v>
      </c>
      <c r="P4" s="47" t="s">
        <v>23</v>
      </c>
      <c r="Q4" s="47" t="s">
        <v>24</v>
      </c>
      <c r="R4" s="47" t="s">
        <v>25</v>
      </c>
      <c r="S4" s="110" t="s">
        <v>26</v>
      </c>
      <c r="T4" s="41" t="s">
        <v>0</v>
      </c>
      <c r="U4" s="1"/>
      <c r="V4" s="47" t="s">
        <v>67</v>
      </c>
      <c r="W4" s="47" t="s">
        <v>68</v>
      </c>
      <c r="X4" s="47" t="s">
        <v>69</v>
      </c>
      <c r="Y4" s="47" t="s">
        <v>70</v>
      </c>
      <c r="Z4" s="47" t="s">
        <v>71</v>
      </c>
      <c r="AA4" s="47" t="s">
        <v>72</v>
      </c>
      <c r="AB4" s="47" t="s">
        <v>73</v>
      </c>
      <c r="AC4" s="47" t="s">
        <v>74</v>
      </c>
      <c r="AD4" s="47" t="s">
        <v>75</v>
      </c>
      <c r="AE4" s="47" t="s">
        <v>76</v>
      </c>
      <c r="AF4" s="110" t="s">
        <v>77</v>
      </c>
    </row>
    <row r="5" spans="2:32" s="3" customFormat="1" x14ac:dyDescent="0.25">
      <c r="D5" s="27" t="s">
        <v>58</v>
      </c>
      <c r="E5" s="78">
        <v>741178.03300000005</v>
      </c>
      <c r="F5" s="78">
        <v>573625.1777</v>
      </c>
      <c r="G5" s="78">
        <v>761158.29799999995</v>
      </c>
      <c r="H5" s="78">
        <v>377490.58505000005</v>
      </c>
      <c r="I5" s="78">
        <v>567177.75003999996</v>
      </c>
      <c r="J5" s="78">
        <v>754656.36600000004</v>
      </c>
      <c r="K5" s="78">
        <v>178953</v>
      </c>
      <c r="L5" s="78">
        <v>373701</v>
      </c>
      <c r="M5" s="78">
        <v>563300.91514000006</v>
      </c>
      <c r="N5" s="78">
        <v>748100</v>
      </c>
      <c r="O5" s="78">
        <v>181928</v>
      </c>
      <c r="P5" s="78">
        <v>383206</v>
      </c>
      <c r="Q5" s="78">
        <v>579419</v>
      </c>
      <c r="R5" s="78">
        <v>772787</v>
      </c>
      <c r="S5" s="124">
        <v>191528</v>
      </c>
      <c r="T5" s="38">
        <f>+S5/O5-1</f>
        <v>5.2768128050657337E-2</v>
      </c>
      <c r="U5" s="1"/>
      <c r="V5" s="78">
        <f>I5-H5</f>
        <v>189687.1649899999</v>
      </c>
      <c r="W5" s="78">
        <f>J5-I5</f>
        <v>187478.61596000008</v>
      </c>
      <c r="X5" s="78">
        <f t="shared" ref="X5:X8" si="0">K5</f>
        <v>178953</v>
      </c>
      <c r="Y5" s="78">
        <f>L5-K5</f>
        <v>194748</v>
      </c>
      <c r="Z5" s="78">
        <f>M5-L5</f>
        <v>189599.91514000006</v>
      </c>
      <c r="AA5" s="78">
        <f>N5-M5</f>
        <v>184799.08485999994</v>
      </c>
      <c r="AB5" s="78">
        <f t="shared" ref="AB5:AB8" si="1">O5</f>
        <v>181928</v>
      </c>
      <c r="AC5" s="78">
        <f>P5-O5</f>
        <v>201278</v>
      </c>
      <c r="AD5" s="78">
        <f>Q5-P5</f>
        <v>196213</v>
      </c>
      <c r="AE5" s="78">
        <f>R5-Q5</f>
        <v>193368</v>
      </c>
      <c r="AF5" s="124">
        <f>S5</f>
        <v>191528</v>
      </c>
    </row>
    <row r="6" spans="2:32" s="3" customFormat="1" x14ac:dyDescent="0.25">
      <c r="D6" s="27" t="s">
        <v>61</v>
      </c>
      <c r="E6" s="78">
        <v>718521</v>
      </c>
      <c r="F6" s="79">
        <v>558247.43156999955</v>
      </c>
      <c r="G6" s="78">
        <v>748309</v>
      </c>
      <c r="H6" s="78">
        <v>374155</v>
      </c>
      <c r="I6" s="78">
        <v>562589.77768000006</v>
      </c>
      <c r="J6" s="78">
        <v>752605</v>
      </c>
      <c r="K6" s="78">
        <v>184280</v>
      </c>
      <c r="L6" s="78">
        <v>370806</v>
      </c>
      <c r="M6" s="78">
        <v>559350.34435000038</v>
      </c>
      <c r="N6" s="78">
        <v>747292</v>
      </c>
      <c r="O6" s="78">
        <v>183489</v>
      </c>
      <c r="P6" s="78">
        <v>370371</v>
      </c>
      <c r="Q6" s="78">
        <v>561078</v>
      </c>
      <c r="R6" s="78">
        <v>753278</v>
      </c>
      <c r="S6" s="124">
        <v>190008</v>
      </c>
      <c r="T6" s="38">
        <f t="shared" ref="T6:T10" si="2">+S6/O6-1</f>
        <v>3.5528015303369687E-2</v>
      </c>
      <c r="U6" s="1"/>
      <c r="V6" s="78">
        <f>I6-H6</f>
        <v>188434.77768000006</v>
      </c>
      <c r="W6" s="78">
        <f t="shared" ref="W6:W9" si="3">J6-I6</f>
        <v>190015.22231999994</v>
      </c>
      <c r="X6" s="78">
        <f t="shared" si="0"/>
        <v>184280</v>
      </c>
      <c r="Y6" s="78">
        <f t="shared" ref="Y6:Z9" si="4">L6-K6</f>
        <v>186526</v>
      </c>
      <c r="Z6" s="78">
        <f t="shared" si="4"/>
        <v>188544.34435000038</v>
      </c>
      <c r="AA6" s="78">
        <f t="shared" ref="AA6:AA9" si="5">N6-M6</f>
        <v>187941.65564999962</v>
      </c>
      <c r="AB6" s="78">
        <f t="shared" si="1"/>
        <v>183489</v>
      </c>
      <c r="AC6" s="78">
        <f t="shared" ref="AC6:AC9" si="6">P6-O6</f>
        <v>186882</v>
      </c>
      <c r="AD6" s="78">
        <f>Q6-P6</f>
        <v>190707</v>
      </c>
      <c r="AE6" s="78">
        <f t="shared" ref="AE6:AE9" si="7">R6-Q6</f>
        <v>192200</v>
      </c>
      <c r="AF6" s="124">
        <f t="shared" ref="AF6:AF9" si="8">S6</f>
        <v>190008</v>
      </c>
    </row>
    <row r="7" spans="2:32" s="3" customFormat="1" x14ac:dyDescent="0.25">
      <c r="D7" s="91" t="s">
        <v>62</v>
      </c>
      <c r="E7" s="48">
        <v>-476725</v>
      </c>
      <c r="F7" s="48">
        <v>-389426.50000539894</v>
      </c>
      <c r="G7" s="48">
        <v>-519666.00000000006</v>
      </c>
      <c r="H7" s="48">
        <v>-245650</v>
      </c>
      <c r="I7" s="48">
        <v>-349852.0986038135</v>
      </c>
      <c r="J7" s="48">
        <v>-465382</v>
      </c>
      <c r="K7" s="48">
        <v>-120874</v>
      </c>
      <c r="L7" s="48">
        <v>-244740</v>
      </c>
      <c r="M7" s="48">
        <v>-374662.88629253145</v>
      </c>
      <c r="N7" s="48">
        <v>-518866</v>
      </c>
      <c r="O7" s="48">
        <v>-128817</v>
      </c>
      <c r="P7" s="48">
        <v>-266484</v>
      </c>
      <c r="Q7" s="48">
        <v>-418306</v>
      </c>
      <c r="R7" s="48">
        <v>-585329</v>
      </c>
      <c r="S7" s="125">
        <v>-168784</v>
      </c>
      <c r="T7" s="39">
        <f t="shared" si="2"/>
        <v>0.31026184432178994</v>
      </c>
      <c r="U7" s="1"/>
      <c r="V7" s="48">
        <f>I7-H7</f>
        <v>-104202.0986038135</v>
      </c>
      <c r="W7" s="48">
        <f t="shared" si="3"/>
        <v>-115529.9013961865</v>
      </c>
      <c r="X7" s="48">
        <f t="shared" si="0"/>
        <v>-120874</v>
      </c>
      <c r="Y7" s="48">
        <f t="shared" si="4"/>
        <v>-123866</v>
      </c>
      <c r="Z7" s="48">
        <f t="shared" si="4"/>
        <v>-129922.88629253145</v>
      </c>
      <c r="AA7" s="48">
        <f t="shared" si="5"/>
        <v>-144203.11370746855</v>
      </c>
      <c r="AB7" s="48">
        <f t="shared" si="1"/>
        <v>-128817</v>
      </c>
      <c r="AC7" s="48">
        <f t="shared" si="6"/>
        <v>-137667</v>
      </c>
      <c r="AD7" s="48">
        <f t="shared" ref="AD7:AD9" si="9">Q7-P7</f>
        <v>-151822</v>
      </c>
      <c r="AE7" s="48">
        <f t="shared" si="7"/>
        <v>-167023</v>
      </c>
      <c r="AF7" s="125">
        <f t="shared" si="8"/>
        <v>-168784</v>
      </c>
    </row>
    <row r="8" spans="2:32" s="3" customFormat="1" x14ac:dyDescent="0.25">
      <c r="D8" s="91" t="s">
        <v>63</v>
      </c>
      <c r="E8" s="48">
        <v>-154001</v>
      </c>
      <c r="F8" s="48">
        <v>-115432.9615953328</v>
      </c>
      <c r="G8" s="48">
        <v>-152748</v>
      </c>
      <c r="H8" s="48">
        <v>-79437</v>
      </c>
      <c r="I8" s="48">
        <v>-118909.1742417893</v>
      </c>
      <c r="J8" s="48">
        <v>-159468</v>
      </c>
      <c r="K8" s="48">
        <v>-36685</v>
      </c>
      <c r="L8" s="48">
        <v>-75358</v>
      </c>
      <c r="M8" s="48">
        <v>-114751.67075482252</v>
      </c>
      <c r="N8" s="48">
        <v>-154310</v>
      </c>
      <c r="O8" s="48">
        <v>-35791</v>
      </c>
      <c r="P8" s="48">
        <v>-71468</v>
      </c>
      <c r="Q8" s="48">
        <v>-110044</v>
      </c>
      <c r="R8" s="48">
        <v>-150800</v>
      </c>
      <c r="S8" s="125">
        <v>-38667</v>
      </c>
      <c r="T8" s="39">
        <f t="shared" si="2"/>
        <v>8.0355396608085883E-2</v>
      </c>
      <c r="U8" s="1"/>
      <c r="V8" s="48">
        <f>I8-H8</f>
        <v>-39472.174241789297</v>
      </c>
      <c r="W8" s="48">
        <f t="shared" si="3"/>
        <v>-40558.825758210703</v>
      </c>
      <c r="X8" s="48">
        <f t="shared" si="0"/>
        <v>-36685</v>
      </c>
      <c r="Y8" s="48">
        <f t="shared" si="4"/>
        <v>-38673</v>
      </c>
      <c r="Z8" s="48">
        <f t="shared" si="4"/>
        <v>-39393.670754822524</v>
      </c>
      <c r="AA8" s="48">
        <f t="shared" si="5"/>
        <v>-39558.329245177476</v>
      </c>
      <c r="AB8" s="48">
        <f t="shared" si="1"/>
        <v>-35791</v>
      </c>
      <c r="AC8" s="48">
        <f t="shared" si="6"/>
        <v>-35677</v>
      </c>
      <c r="AD8" s="48">
        <f t="shared" si="9"/>
        <v>-38576</v>
      </c>
      <c r="AE8" s="48">
        <f t="shared" si="7"/>
        <v>-40756</v>
      </c>
      <c r="AF8" s="125">
        <f t="shared" si="8"/>
        <v>-38667</v>
      </c>
    </row>
    <row r="9" spans="2:32" s="3" customFormat="1" ht="15.75" thickBot="1" x14ac:dyDescent="0.3">
      <c r="D9" s="91" t="s">
        <v>64</v>
      </c>
      <c r="E9" s="48">
        <v>27179</v>
      </c>
      <c r="F9" s="48">
        <v>23881.10989</v>
      </c>
      <c r="G9" s="48">
        <v>30638</v>
      </c>
      <c r="H9" s="48">
        <v>9281</v>
      </c>
      <c r="I9" s="48">
        <v>14965.983510000002</v>
      </c>
      <c r="J9" s="48">
        <v>18726</v>
      </c>
      <c r="K9" s="48">
        <v>4390</v>
      </c>
      <c r="L9" s="48">
        <v>9882</v>
      </c>
      <c r="M9" s="48">
        <v>15696.075209999997</v>
      </c>
      <c r="N9" s="48">
        <v>22877</v>
      </c>
      <c r="O9" s="48">
        <v>2550</v>
      </c>
      <c r="P9" s="48">
        <v>7286</v>
      </c>
      <c r="Q9" s="48">
        <v>12636</v>
      </c>
      <c r="R9" s="48">
        <v>17506</v>
      </c>
      <c r="S9" s="125">
        <v>2391</v>
      </c>
      <c r="T9" s="39">
        <f t="shared" si="2"/>
        <v>-6.2352941176470611E-2</v>
      </c>
      <c r="U9" s="1"/>
      <c r="V9" s="48">
        <f>I9-H9</f>
        <v>5684.9835100000018</v>
      </c>
      <c r="W9" s="48">
        <f t="shared" si="3"/>
        <v>3760.0164899999982</v>
      </c>
      <c r="X9" s="48">
        <f>K9</f>
        <v>4390</v>
      </c>
      <c r="Y9" s="48">
        <f t="shared" si="4"/>
        <v>5492</v>
      </c>
      <c r="Z9" s="48">
        <f t="shared" si="4"/>
        <v>5814.0752099999972</v>
      </c>
      <c r="AA9" s="48">
        <f t="shared" si="5"/>
        <v>7180.9247900000028</v>
      </c>
      <c r="AB9" s="48">
        <f>O9</f>
        <v>2550</v>
      </c>
      <c r="AC9" s="48">
        <f t="shared" si="6"/>
        <v>4736</v>
      </c>
      <c r="AD9" s="48">
        <f t="shared" si="9"/>
        <v>5350</v>
      </c>
      <c r="AE9" s="48">
        <f t="shared" si="7"/>
        <v>4870</v>
      </c>
      <c r="AF9" s="125">
        <f t="shared" si="8"/>
        <v>2391</v>
      </c>
    </row>
    <row r="10" spans="2:32" s="3" customFormat="1" ht="15.75" thickBot="1" x14ac:dyDescent="0.3">
      <c r="D10" s="94" t="s">
        <v>59</v>
      </c>
      <c r="E10" s="77">
        <f>SUM(E6:E9)</f>
        <v>114974</v>
      </c>
      <c r="F10" s="77">
        <f>SUM(F6:F9)</f>
        <v>77269.079859267804</v>
      </c>
      <c r="G10" s="77">
        <f>SUM(G6:G9)</f>
        <v>106532.99999999994</v>
      </c>
      <c r="H10" s="77">
        <f>SUM(H6:H9)</f>
        <v>58349</v>
      </c>
      <c r="I10" s="77">
        <f>SUM(I6:I9)</f>
        <v>108794.48834439726</v>
      </c>
      <c r="J10" s="77">
        <f t="shared" ref="J10:K10" si="10">SUM(J6:J9)</f>
        <v>146481</v>
      </c>
      <c r="K10" s="77">
        <f t="shared" si="10"/>
        <v>31111</v>
      </c>
      <c r="L10" s="77">
        <f>SUM(L6:L9)</f>
        <v>60590</v>
      </c>
      <c r="M10" s="77">
        <f>SUM(M6:M9)</f>
        <v>85631.862512646403</v>
      </c>
      <c r="N10" s="77">
        <f>SUM(N6:N9)</f>
        <v>96993</v>
      </c>
      <c r="O10" s="77">
        <f>SUM(O6:O9)</f>
        <v>21431</v>
      </c>
      <c r="P10" s="77">
        <v>39705</v>
      </c>
      <c r="Q10" s="77">
        <f>SUM(Q6:Q9)</f>
        <v>45364</v>
      </c>
      <c r="R10" s="18">
        <f>SUM(R6:R9)</f>
        <v>34655</v>
      </c>
      <c r="S10" s="25">
        <f>SUM(S6:S9)</f>
        <v>-15052</v>
      </c>
      <c r="T10" s="121">
        <f t="shared" si="2"/>
        <v>-1.7023470673323691</v>
      </c>
      <c r="U10" s="1"/>
      <c r="V10" s="77">
        <f t="shared" ref="V10:AA10" si="11">SUM(V6:V9)</f>
        <v>50445.488344397265</v>
      </c>
      <c r="W10" s="77">
        <f t="shared" si="11"/>
        <v>37686.511655602735</v>
      </c>
      <c r="X10" s="77">
        <f t="shared" si="11"/>
        <v>31111</v>
      </c>
      <c r="Y10" s="77">
        <f>SUM(Y6:Y9)</f>
        <v>29479</v>
      </c>
      <c r="Z10" s="77">
        <f>SUM(Z6:Z9)</f>
        <v>25041.862512646403</v>
      </c>
      <c r="AA10" s="77">
        <f t="shared" si="11"/>
        <v>11361.137487353595</v>
      </c>
      <c r="AB10" s="77">
        <f t="shared" ref="AB10:AC10" si="12">SUM(AB6:AB9)</f>
        <v>21431</v>
      </c>
      <c r="AC10" s="77">
        <f t="shared" si="12"/>
        <v>18274</v>
      </c>
      <c r="AD10" s="77">
        <f>SUM(AD6:AD9)</f>
        <v>5659</v>
      </c>
      <c r="AE10" s="77">
        <f>SUM(AE6:AE9)</f>
        <v>-10709</v>
      </c>
      <c r="AF10" s="126">
        <f>SUM(AF6:AF9)</f>
        <v>-15052</v>
      </c>
    </row>
    <row r="11" spans="2:32" s="3" customFormat="1" ht="9" customHeight="1" x14ac:dyDescent="0.25">
      <c r="D11" s="2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9"/>
      <c r="U11" s="1"/>
    </row>
    <row r="12" spans="2:32" s="3" customFormat="1" x14ac:dyDescent="0.25">
      <c r="D12" s="2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92" t="s">
        <v>51</v>
      </c>
      <c r="U12" s="1"/>
      <c r="AF12" s="92" t="s">
        <v>51</v>
      </c>
    </row>
    <row r="13" spans="2:32" s="3" customFormat="1" x14ac:dyDescent="0.25">
      <c r="D13" s="29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1"/>
    </row>
    <row r="14" spans="2:32" s="3" customFormat="1" x14ac:dyDescent="0.25">
      <c r="D14" s="27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9"/>
      <c r="U14" s="1"/>
    </row>
    <row r="15" spans="2:32" s="3" customFormat="1" ht="15.75" thickBot="1" x14ac:dyDescent="0.3">
      <c r="D15" s="33"/>
      <c r="E15" s="47" t="s">
        <v>6</v>
      </c>
      <c r="F15" s="47" t="s">
        <v>16</v>
      </c>
      <c r="G15" s="47" t="s">
        <v>3</v>
      </c>
      <c r="H15" s="47" t="s">
        <v>17</v>
      </c>
      <c r="I15" s="47" t="s">
        <v>14</v>
      </c>
      <c r="J15" s="47" t="s">
        <v>4</v>
      </c>
      <c r="K15" s="47" t="s">
        <v>21</v>
      </c>
      <c r="L15" s="47" t="s">
        <v>15</v>
      </c>
      <c r="M15" s="47" t="s">
        <v>13</v>
      </c>
      <c r="N15" s="47" t="s">
        <v>19</v>
      </c>
      <c r="O15" s="47" t="s">
        <v>22</v>
      </c>
      <c r="P15" s="47" t="s">
        <v>23</v>
      </c>
      <c r="Q15" s="47" t="s">
        <v>24</v>
      </c>
      <c r="R15" s="47" t="s">
        <v>25</v>
      </c>
      <c r="S15" s="110" t="s">
        <v>26</v>
      </c>
      <c r="T15" s="122" t="s">
        <v>2</v>
      </c>
      <c r="U15" s="1"/>
      <c r="V15" s="47" t="s">
        <v>67</v>
      </c>
      <c r="W15" s="47" t="s">
        <v>68</v>
      </c>
      <c r="X15" s="47" t="s">
        <v>69</v>
      </c>
      <c r="Y15" s="47" t="s">
        <v>70</v>
      </c>
      <c r="Z15" s="47" t="s">
        <v>71</v>
      </c>
      <c r="AA15" s="47" t="s">
        <v>72</v>
      </c>
      <c r="AB15" s="47" t="s">
        <v>73</v>
      </c>
      <c r="AC15" s="47" t="s">
        <v>74</v>
      </c>
      <c r="AD15" s="47" t="s">
        <v>75</v>
      </c>
      <c r="AE15" s="47" t="s">
        <v>76</v>
      </c>
      <c r="AF15" s="110" t="s">
        <v>77</v>
      </c>
    </row>
    <row r="16" spans="2:32" s="3" customFormat="1" x14ac:dyDescent="0.25">
      <c r="D16" s="91" t="s">
        <v>65</v>
      </c>
      <c r="E16" s="49">
        <f>-E7/E6</f>
        <v>0.66348095601937873</v>
      </c>
      <c r="F16" s="49">
        <f t="shared" ref="F16" si="13">-F7/F6</f>
        <v>0.69758762509696937</v>
      </c>
      <c r="G16" s="49">
        <f>-G7/G6</f>
        <v>0.69445376174815487</v>
      </c>
      <c r="H16" s="49">
        <f>-H7/H6</f>
        <v>0.65654608384225788</v>
      </c>
      <c r="I16" s="49">
        <f>-I7/I6</f>
        <v>0.62186003458244254</v>
      </c>
      <c r="J16" s="49">
        <f t="shared" ref="J16:K16" si="14">-J7/J6</f>
        <v>0.61836155752353494</v>
      </c>
      <c r="K16" s="49">
        <f t="shared" si="14"/>
        <v>0.65592576514000434</v>
      </c>
      <c r="L16" s="49">
        <f>-L7/L6</f>
        <v>0.66002168249704696</v>
      </c>
      <c r="M16" s="49">
        <f>-M7/M6</f>
        <v>0.66981792373420779</v>
      </c>
      <c r="N16" s="49">
        <f>-N7/N6</f>
        <v>0.6943283214593492</v>
      </c>
      <c r="O16" s="49">
        <f>-O7/O6</f>
        <v>0.70204208426663184</v>
      </c>
      <c r="P16" s="49">
        <f t="shared" ref="P16" si="15">-P7/P6</f>
        <v>0.71950557684051941</v>
      </c>
      <c r="Q16" s="49">
        <f>-Q7/Q6</f>
        <v>0.7455398358160541</v>
      </c>
      <c r="R16" s="49">
        <f>-R7/R6</f>
        <v>0.77704247303120499</v>
      </c>
      <c r="S16" s="111">
        <f>-S7/S6</f>
        <v>0.88829944002357797</v>
      </c>
      <c r="T16" s="120">
        <f>(S16-O16)*100</f>
        <v>18.625735575694613</v>
      </c>
      <c r="U16" s="1"/>
      <c r="V16" s="49">
        <f t="shared" ref="V16" si="16">-V7/V6</f>
        <v>0.55298761665306551</v>
      </c>
      <c r="W16" s="49">
        <f t="shared" ref="W16:Y16" si="17">-W7/W6</f>
        <v>0.60800340091503535</v>
      </c>
      <c r="X16" s="49">
        <f t="shared" si="17"/>
        <v>0.65592576514000434</v>
      </c>
      <c r="Y16" s="49">
        <f t="shared" si="17"/>
        <v>0.66406828002530482</v>
      </c>
      <c r="Z16" s="49">
        <f>-Z7/Z6</f>
        <v>0.68908397512763253</v>
      </c>
      <c r="AA16" s="49">
        <f t="shared" ref="AA16:AD16" si="18">-AA7/AA6</f>
        <v>0.7672759570449641</v>
      </c>
      <c r="AB16" s="49">
        <f t="shared" ref="AB16:AC16" si="19">-AB7/AB6</f>
        <v>0.70204208426663184</v>
      </c>
      <c r="AC16" s="49">
        <f t="shared" si="19"/>
        <v>0.73665200500850803</v>
      </c>
      <c r="AD16" s="49">
        <f t="shared" si="18"/>
        <v>0.79610082482551769</v>
      </c>
      <c r="AE16" s="49">
        <f>-AE7/AE6</f>
        <v>0.86900624349635791</v>
      </c>
      <c r="AF16" s="111">
        <f>-AF7/AF6</f>
        <v>0.88829944002357797</v>
      </c>
    </row>
    <row r="17" spans="4:32" s="3" customFormat="1" ht="15.75" thickBot="1" x14ac:dyDescent="0.3">
      <c r="D17" s="91" t="s">
        <v>66</v>
      </c>
      <c r="E17" s="49">
        <f>-(E8+E9)/E6</f>
        <v>0.17650423578434032</v>
      </c>
      <c r="F17" s="49">
        <f t="shared" ref="F17" si="20">-(F8+F9)/F6</f>
        <v>0.16399869758084679</v>
      </c>
      <c r="G17" s="49">
        <f>-(G8+G9)/G6</f>
        <v>0.16318125266434053</v>
      </c>
      <c r="H17" s="49">
        <f>-(H8+H9)/H6</f>
        <v>0.18750517833518193</v>
      </c>
      <c r="I17" s="49">
        <f>-(I8+I9)/I6</f>
        <v>0.18475840631237345</v>
      </c>
      <c r="J17" s="49">
        <f t="shared" ref="J17:K17" si="21">-(J8+J9)/J6</f>
        <v>0.18700646421429568</v>
      </c>
      <c r="K17" s="49">
        <f t="shared" si="21"/>
        <v>0.17524962014326026</v>
      </c>
      <c r="L17" s="49">
        <f>-(L8+L9)/L6</f>
        <v>0.17657750953328694</v>
      </c>
      <c r="M17" s="49">
        <f>-(M8+M9)/M6</f>
        <v>0.17709043454676199</v>
      </c>
      <c r="N17" s="49">
        <f>-(N8+N9)/N6</f>
        <v>0.17587904058922083</v>
      </c>
      <c r="O17" s="49">
        <f>-(O8+O9)/O6</f>
        <v>0.18116072353111085</v>
      </c>
      <c r="P17" s="49">
        <f t="shared" ref="P17" si="22">-(P8+P9)/P6</f>
        <v>0.1732911054051208</v>
      </c>
      <c r="Q17" s="49">
        <f>-(Q8+Q9)/Q6</f>
        <v>0.1736086604714496</v>
      </c>
      <c r="R17" s="49">
        <f>-(R8+R9)/R6</f>
        <v>0.17695193540764498</v>
      </c>
      <c r="S17" s="111">
        <f>-(S8+S9)/S6</f>
        <v>0.19091827712517367</v>
      </c>
      <c r="T17" s="120">
        <f t="shared" ref="T17:T18" si="23">(S17-O17)*100</f>
        <v>0.97575535940628289</v>
      </c>
      <c r="U17" s="1"/>
      <c r="V17" s="49">
        <f t="shared" ref="V17" si="24">-(V8+V9)/V6</f>
        <v>0.1793044317390641</v>
      </c>
      <c r="W17" s="49">
        <f t="shared" ref="W17:Y17" si="25">-(W8+W9)/W6</f>
        <v>0.19366242777243786</v>
      </c>
      <c r="X17" s="49">
        <f t="shared" si="25"/>
        <v>0.17524962014326026</v>
      </c>
      <c r="Y17" s="49">
        <f t="shared" si="25"/>
        <v>0.17788940951931634</v>
      </c>
      <c r="Z17" s="49">
        <f>-(Z8+Z9)/Z6</f>
        <v>0.17809919284817022</v>
      </c>
      <c r="AA17" s="49">
        <f t="shared" ref="AA17:AD17" si="26">-(AA8+AA9)/AA6</f>
        <v>0.1722737002778848</v>
      </c>
      <c r="AB17" s="49">
        <f t="shared" ref="AB17:AC17" si="27">-(AB8+AB9)/AB6</f>
        <v>0.18116072353111085</v>
      </c>
      <c r="AC17" s="49">
        <f t="shared" si="27"/>
        <v>0.16556436681970441</v>
      </c>
      <c r="AD17" s="49">
        <f t="shared" si="26"/>
        <v>0.17422538239288543</v>
      </c>
      <c r="AE17" s="49">
        <f>-(AE8+AE9)/AE6</f>
        <v>0.18671175858480749</v>
      </c>
      <c r="AF17" s="111">
        <f>-(AF8+AF9)/AF6</f>
        <v>0.19091827712517367</v>
      </c>
    </row>
    <row r="18" spans="4:32" s="3" customFormat="1" ht="15.75" thickBot="1" x14ac:dyDescent="0.3">
      <c r="D18" s="94" t="s">
        <v>60</v>
      </c>
      <c r="E18" s="51">
        <f>-(E7+E8+E9)/E6</f>
        <v>0.839985191803719</v>
      </c>
      <c r="F18" s="51">
        <f t="shared" ref="F18" si="28">-(F7+F8+F9)/F6</f>
        <v>0.8615863226778161</v>
      </c>
      <c r="G18" s="51">
        <f>-(G7+G8+G9)/G6</f>
        <v>0.85763501441249534</v>
      </c>
      <c r="H18" s="51">
        <f>-(H7+H8+H9)/H6</f>
        <v>0.84405126217743986</v>
      </c>
      <c r="I18" s="51">
        <f>-(I7+I8+I9)/I6</f>
        <v>0.80661844089481605</v>
      </c>
      <c r="J18" s="51">
        <f t="shared" ref="J18:K18" si="29">-(J7+J8+J9)/J6</f>
        <v>0.80536802173783062</v>
      </c>
      <c r="K18" s="51">
        <f t="shared" si="29"/>
        <v>0.83117538528326462</v>
      </c>
      <c r="L18" s="51">
        <f>-(L7+L8+L9)/L6</f>
        <v>0.83659919203033395</v>
      </c>
      <c r="M18" s="51">
        <f>-(M7+M8+M9)/M6</f>
        <v>0.84690835828096978</v>
      </c>
      <c r="N18" s="51">
        <f>-(N7+N8+N9)/N6</f>
        <v>0.87020736204857008</v>
      </c>
      <c r="O18" s="51">
        <f>-(O7+O8+O9)/O6</f>
        <v>0.88320280779774263</v>
      </c>
      <c r="P18" s="51">
        <f t="shared" ref="P18" si="30">-(P7+P8+P9)/P6</f>
        <v>0.89279668224564013</v>
      </c>
      <c r="Q18" s="51">
        <f>-(Q7+Q8+Q9)/Q6</f>
        <v>0.91914849628750372</v>
      </c>
      <c r="R18" s="51">
        <f>-(R7+R8+R9)/R6</f>
        <v>0.95399440843884997</v>
      </c>
      <c r="S18" s="112">
        <f>-(S7+S8+S9)/S6</f>
        <v>1.0792177171487516</v>
      </c>
      <c r="T18" s="123">
        <f t="shared" si="23"/>
        <v>19.601490935100895</v>
      </c>
      <c r="U18" s="1"/>
      <c r="V18" s="51">
        <f t="shared" ref="V18" si="31">-(V7+V8+V9)/V6</f>
        <v>0.73229204839212969</v>
      </c>
      <c r="W18" s="51">
        <f t="shared" ref="W18:Y18" si="32">-(W7+W8+W9)/W6</f>
        <v>0.80166582868747316</v>
      </c>
      <c r="X18" s="51">
        <f t="shared" si="32"/>
        <v>0.83117538528326462</v>
      </c>
      <c r="Y18" s="51">
        <f t="shared" si="32"/>
        <v>0.84195768954462114</v>
      </c>
      <c r="Z18" s="51">
        <f>-(Z7+Z8+Z9)/Z6</f>
        <v>0.86718316797580264</v>
      </c>
      <c r="AA18" s="51">
        <f t="shared" ref="AA18:AD18" si="33">-(AA7+AA8+AA9)/AA6</f>
        <v>0.93954965732284901</v>
      </c>
      <c r="AB18" s="51">
        <f t="shared" ref="AB18:AC18" si="34">-(AB7+AB8+AB9)/AB6</f>
        <v>0.88320280779774263</v>
      </c>
      <c r="AC18" s="51">
        <f t="shared" si="34"/>
        <v>0.90221637182821246</v>
      </c>
      <c r="AD18" s="51">
        <f t="shared" si="33"/>
        <v>0.97032620721840313</v>
      </c>
      <c r="AE18" s="51">
        <f>-(AE7+AE8+AE9)/AE6</f>
        <v>1.0557180020811654</v>
      </c>
      <c r="AF18" s="112">
        <f>-(AF7+AF8+AF9)/AF6</f>
        <v>1.0792177171487516</v>
      </c>
    </row>
    <row r="19" spans="4:32" s="3" customFormat="1" x14ac:dyDescent="0.25">
      <c r="D19" s="27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  <c r="U19" s="48"/>
    </row>
    <row r="20" spans="4:32" s="3" customFormat="1" x14ac:dyDescent="0.25">
      <c r="T20" s="5"/>
      <c r="U20" s="50"/>
    </row>
  </sheetData>
  <hyperlinks>
    <hyperlink ref="B2" location="'Suplemento Financiero&gt;&gt;&gt;'!A1" display="ÍNDICE" xr:uid="{70DCC0BC-B217-4860-83C8-5F868EB7AA2D}"/>
  </hyperlinks>
  <pageMargins left="0.7" right="0.7" top="0.75" bottom="0.75" header="0.3" footer="0.3"/>
  <pageSetup paperSize="9" scale="71" orientation="landscape" r:id="rId1"/>
  <colBreaks count="1" manualBreakCount="1">
    <brk id="29" max="1048575" man="1"/>
  </colBreaks>
  <ignoredErrors>
    <ignoredError sqref="R10:S10 E10:O10 Q10" formulaRange="1"/>
    <ignoredError sqref="X5:X10 AB5:AB9" formula="1"/>
    <ignoredError sqref="Q17:Q18 AD16:AD18 Q16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D9583-BE61-4601-BB05-21DCEC7FD5DC}">
  <sheetPr>
    <tabColor theme="2" tint="-9.9978637043366805E-2"/>
  </sheetPr>
  <dimension ref="B1:AF20"/>
  <sheetViews>
    <sheetView showGridLines="0" zoomScaleNormal="100" workbookViewId="0"/>
  </sheetViews>
  <sheetFormatPr baseColWidth="10" defaultColWidth="10.85546875" defaultRowHeight="15" outlineLevelCol="1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customWidth="1"/>
    <col min="16" max="16" width="11" style="4" hidden="1" customWidth="1" outlineLevel="1"/>
    <col min="17" max="17" width="11" style="4" hidden="1" customWidth="1" outlineLevel="1" collapsed="1"/>
    <col min="18" max="18" width="11" style="4" customWidth="1" collapsed="1"/>
    <col min="19" max="19" width="11" style="106" customWidth="1"/>
    <col min="20" max="20" width="11" style="4" customWidth="1"/>
    <col min="21" max="21" width="3" style="1" customWidth="1"/>
    <col min="22" max="16384" width="10.85546875" style="4"/>
  </cols>
  <sheetData>
    <row r="1" spans="2:32" ht="16.5" customHeight="1" x14ac:dyDescent="0.2"/>
    <row r="2" spans="2:32" ht="18.75" customHeight="1" thickBot="1" x14ac:dyDescent="0.25">
      <c r="B2" s="163" t="s">
        <v>37</v>
      </c>
      <c r="D2" s="19" t="s">
        <v>147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07"/>
      <c r="T2" s="19"/>
      <c r="V2" s="19" t="s">
        <v>57</v>
      </c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4" spans="2:32" s="3" customFormat="1" ht="15.75" thickBot="1" x14ac:dyDescent="0.3">
      <c r="D4" s="33"/>
      <c r="E4" s="47" t="s">
        <v>6</v>
      </c>
      <c r="F4" s="47" t="s">
        <v>16</v>
      </c>
      <c r="G4" s="47" t="s">
        <v>3</v>
      </c>
      <c r="H4" s="47" t="s">
        <v>17</v>
      </c>
      <c r="I4" s="47" t="s">
        <v>14</v>
      </c>
      <c r="J4" s="47" t="s">
        <v>4</v>
      </c>
      <c r="K4" s="47" t="s">
        <v>21</v>
      </c>
      <c r="L4" s="47" t="s">
        <v>15</v>
      </c>
      <c r="M4" s="47" t="s">
        <v>13</v>
      </c>
      <c r="N4" s="47" t="s">
        <v>19</v>
      </c>
      <c r="O4" s="47" t="s">
        <v>22</v>
      </c>
      <c r="P4" s="47" t="s">
        <v>23</v>
      </c>
      <c r="Q4" s="47" t="s">
        <v>24</v>
      </c>
      <c r="R4" s="47" t="s">
        <v>25</v>
      </c>
      <c r="S4" s="110" t="s">
        <v>26</v>
      </c>
      <c r="T4" s="127" t="s">
        <v>0</v>
      </c>
      <c r="U4" s="1"/>
      <c r="V4" s="47" t="s">
        <v>67</v>
      </c>
      <c r="W4" s="47" t="s">
        <v>68</v>
      </c>
      <c r="X4" s="47" t="s">
        <v>69</v>
      </c>
      <c r="Y4" s="47" t="s">
        <v>70</v>
      </c>
      <c r="Z4" s="47" t="s">
        <v>71</v>
      </c>
      <c r="AA4" s="47" t="s">
        <v>72</v>
      </c>
      <c r="AB4" s="47" t="s">
        <v>73</v>
      </c>
      <c r="AC4" s="47" t="s">
        <v>74</v>
      </c>
      <c r="AD4" s="47" t="s">
        <v>75</v>
      </c>
      <c r="AE4" s="47" t="s">
        <v>76</v>
      </c>
      <c r="AF4" s="110" t="s">
        <v>77</v>
      </c>
    </row>
    <row r="5" spans="2:32" s="3" customFormat="1" x14ac:dyDescent="0.25">
      <c r="D5" s="27" t="s">
        <v>58</v>
      </c>
      <c r="E5" s="78">
        <v>100691.076</v>
      </c>
      <c r="F5" s="78">
        <v>82446.400180000026</v>
      </c>
      <c r="G5" s="78">
        <v>111356.549</v>
      </c>
      <c r="H5" s="78">
        <v>59705.956969999999</v>
      </c>
      <c r="I5" s="78">
        <v>89543.79578</v>
      </c>
      <c r="J5" s="78">
        <v>120653.628</v>
      </c>
      <c r="K5" s="78">
        <v>31764</v>
      </c>
      <c r="L5" s="78">
        <v>64779</v>
      </c>
      <c r="M5" s="78">
        <v>97044.810309999986</v>
      </c>
      <c r="N5" s="78">
        <v>131243</v>
      </c>
      <c r="O5" s="78">
        <v>35256</v>
      </c>
      <c r="P5" s="78">
        <v>71667</v>
      </c>
      <c r="Q5" s="78">
        <v>106896</v>
      </c>
      <c r="R5" s="78">
        <v>143713</v>
      </c>
      <c r="S5" s="124">
        <v>37607</v>
      </c>
      <c r="T5" s="38">
        <f>+S5/O5-1</f>
        <v>6.6683685046516894E-2</v>
      </c>
      <c r="U5" s="1"/>
      <c r="V5" s="78">
        <f>I5-H5</f>
        <v>29837.838810000001</v>
      </c>
      <c r="W5" s="78">
        <f>J5-I5</f>
        <v>31109.832219999997</v>
      </c>
      <c r="X5" s="78">
        <f>K5</f>
        <v>31764</v>
      </c>
      <c r="Y5" s="78">
        <f t="shared" ref="Y5:Y9" si="0">L5-K5</f>
        <v>33015</v>
      </c>
      <c r="Z5" s="78">
        <f>M5-L5</f>
        <v>32265.810309999986</v>
      </c>
      <c r="AA5" s="78">
        <f t="shared" ref="AA5:AA9" si="1">N5-M5</f>
        <v>34198.189690000014</v>
      </c>
      <c r="AB5" s="78">
        <f>O5</f>
        <v>35256</v>
      </c>
      <c r="AC5" s="78">
        <f>P5-O5</f>
        <v>36411</v>
      </c>
      <c r="AD5" s="78">
        <f>Q5-P5</f>
        <v>35229</v>
      </c>
      <c r="AE5" s="78">
        <f>R5-Q5</f>
        <v>36817</v>
      </c>
      <c r="AF5" s="124">
        <f>S5</f>
        <v>37607</v>
      </c>
    </row>
    <row r="6" spans="2:32" s="3" customFormat="1" x14ac:dyDescent="0.25">
      <c r="D6" s="27" t="s">
        <v>61</v>
      </c>
      <c r="E6" s="78">
        <v>92406</v>
      </c>
      <c r="F6" s="78">
        <v>76020.518519999998</v>
      </c>
      <c r="G6" s="78">
        <v>102660</v>
      </c>
      <c r="H6" s="78">
        <v>54284</v>
      </c>
      <c r="I6" s="78">
        <v>82565.065399999949</v>
      </c>
      <c r="J6" s="78">
        <v>111546</v>
      </c>
      <c r="K6" s="78">
        <v>28726</v>
      </c>
      <c r="L6" s="78">
        <v>58166</v>
      </c>
      <c r="M6" s="78">
        <v>88288.386050000001</v>
      </c>
      <c r="N6" s="78">
        <v>119067</v>
      </c>
      <c r="O6" s="78">
        <v>30892</v>
      </c>
      <c r="P6" s="78">
        <v>63021</v>
      </c>
      <c r="Q6" s="78">
        <v>96242</v>
      </c>
      <c r="R6" s="78">
        <v>129799</v>
      </c>
      <c r="S6" s="124">
        <v>34433</v>
      </c>
      <c r="T6" s="38">
        <f t="shared" ref="T6:T10" si="2">+S6/O6-1</f>
        <v>0.11462514566878146</v>
      </c>
      <c r="U6" s="1"/>
      <c r="V6" s="78">
        <f>I6-H6</f>
        <v>28281.065399999949</v>
      </c>
      <c r="W6" s="78">
        <f t="shared" ref="W6:W9" si="3">J6-I6</f>
        <v>28980.934600000051</v>
      </c>
      <c r="X6" s="78">
        <f t="shared" ref="X6:X9" si="4">K6</f>
        <v>28726</v>
      </c>
      <c r="Y6" s="78">
        <f t="shared" si="0"/>
        <v>29440</v>
      </c>
      <c r="Z6" s="78">
        <f>M6-L6</f>
        <v>30122.386050000001</v>
      </c>
      <c r="AA6" s="78">
        <f t="shared" si="1"/>
        <v>30778.613949999999</v>
      </c>
      <c r="AB6" s="78">
        <f t="shared" ref="AB6:AB9" si="5">O6</f>
        <v>30892</v>
      </c>
      <c r="AC6" s="78">
        <f>P6-O6</f>
        <v>32129</v>
      </c>
      <c r="AD6" s="78">
        <f t="shared" ref="AD6:AD9" si="6">Q6-P6</f>
        <v>33221</v>
      </c>
      <c r="AE6" s="78">
        <f t="shared" ref="AE6:AE9" si="7">R6-Q6</f>
        <v>33557</v>
      </c>
      <c r="AF6" s="124">
        <f t="shared" ref="AF6:AF9" si="8">S6</f>
        <v>34433</v>
      </c>
    </row>
    <row r="7" spans="2:32" s="3" customFormat="1" x14ac:dyDescent="0.25">
      <c r="D7" s="91" t="s">
        <v>62</v>
      </c>
      <c r="E7" s="48">
        <v>-48215</v>
      </c>
      <c r="F7" s="48">
        <v>-39724.096594049995</v>
      </c>
      <c r="G7" s="48">
        <v>-53137</v>
      </c>
      <c r="H7" s="48">
        <v>-28390</v>
      </c>
      <c r="I7" s="48">
        <v>-45994.703035557985</v>
      </c>
      <c r="J7" s="48">
        <v>-63678</v>
      </c>
      <c r="K7" s="48">
        <v>-18299</v>
      </c>
      <c r="L7" s="48">
        <v>-33435</v>
      </c>
      <c r="M7" s="48">
        <v>-49774.005104250042</v>
      </c>
      <c r="N7" s="48">
        <v>-66003</v>
      </c>
      <c r="O7" s="48">
        <v>-18499</v>
      </c>
      <c r="P7" s="48">
        <v>-36183</v>
      </c>
      <c r="Q7" s="48">
        <v>-58937</v>
      </c>
      <c r="R7" s="48">
        <v>-81840</v>
      </c>
      <c r="S7" s="125">
        <v>-24748</v>
      </c>
      <c r="T7" s="39">
        <f t="shared" si="2"/>
        <v>0.33780204335369479</v>
      </c>
      <c r="U7" s="1"/>
      <c r="V7" s="48">
        <f>I7-H7</f>
        <v>-17604.703035557985</v>
      </c>
      <c r="W7" s="48">
        <f t="shared" si="3"/>
        <v>-17683.296964442015</v>
      </c>
      <c r="X7" s="48">
        <f t="shared" si="4"/>
        <v>-18299</v>
      </c>
      <c r="Y7" s="48">
        <f t="shared" si="0"/>
        <v>-15136</v>
      </c>
      <c r="Z7" s="48">
        <f>M7-L7</f>
        <v>-16339.005104250042</v>
      </c>
      <c r="AA7" s="48">
        <f t="shared" si="1"/>
        <v>-16228.994895749958</v>
      </c>
      <c r="AB7" s="48">
        <f t="shared" si="5"/>
        <v>-18499</v>
      </c>
      <c r="AC7" s="48">
        <f>P7-O7</f>
        <v>-17684</v>
      </c>
      <c r="AD7" s="48">
        <f t="shared" si="6"/>
        <v>-22754</v>
      </c>
      <c r="AE7" s="48">
        <f t="shared" si="7"/>
        <v>-22903</v>
      </c>
      <c r="AF7" s="125">
        <f t="shared" si="8"/>
        <v>-24748</v>
      </c>
    </row>
    <row r="8" spans="2:32" s="3" customFormat="1" x14ac:dyDescent="0.25">
      <c r="D8" s="91" t="s">
        <v>63</v>
      </c>
      <c r="E8" s="48">
        <v>-35037</v>
      </c>
      <c r="F8" s="48">
        <v>-27774.558025313498</v>
      </c>
      <c r="G8" s="48">
        <v>-37209</v>
      </c>
      <c r="H8" s="48">
        <v>-19678</v>
      </c>
      <c r="I8" s="48">
        <v>-30927.286957193995</v>
      </c>
      <c r="J8" s="48">
        <v>-40873</v>
      </c>
      <c r="K8" s="48">
        <v>-9867</v>
      </c>
      <c r="L8" s="48">
        <v>-19550</v>
      </c>
      <c r="M8" s="48">
        <v>-29832.20227503881</v>
      </c>
      <c r="N8" s="48">
        <v>-39888</v>
      </c>
      <c r="O8" s="48">
        <v>-9994</v>
      </c>
      <c r="P8" s="48">
        <v>-20405</v>
      </c>
      <c r="Q8" s="48">
        <v>-30785</v>
      </c>
      <c r="R8" s="48">
        <v>-41989</v>
      </c>
      <c r="S8" s="125">
        <v>-9156</v>
      </c>
      <c r="T8" s="39">
        <f t="shared" si="2"/>
        <v>-8.3850310186111665E-2</v>
      </c>
      <c r="U8" s="1"/>
      <c r="V8" s="48">
        <f>I8-H8</f>
        <v>-11249.286957193995</v>
      </c>
      <c r="W8" s="48">
        <f t="shared" si="3"/>
        <v>-9945.7130428060045</v>
      </c>
      <c r="X8" s="48">
        <f t="shared" si="4"/>
        <v>-9867</v>
      </c>
      <c r="Y8" s="48">
        <f t="shared" si="0"/>
        <v>-9683</v>
      </c>
      <c r="Z8" s="48">
        <f>M8-L8</f>
        <v>-10282.20227503881</v>
      </c>
      <c r="AA8" s="48">
        <f t="shared" si="1"/>
        <v>-10055.79772496119</v>
      </c>
      <c r="AB8" s="48">
        <f t="shared" si="5"/>
        <v>-9994</v>
      </c>
      <c r="AC8" s="48">
        <f t="shared" ref="AC8:AC9" si="9">P8-O8</f>
        <v>-10411</v>
      </c>
      <c r="AD8" s="48">
        <f t="shared" si="6"/>
        <v>-10380</v>
      </c>
      <c r="AE8" s="48">
        <f t="shared" si="7"/>
        <v>-11204</v>
      </c>
      <c r="AF8" s="125">
        <f t="shared" si="8"/>
        <v>-9156</v>
      </c>
    </row>
    <row r="9" spans="2:32" s="3" customFormat="1" ht="15.75" thickBot="1" x14ac:dyDescent="0.3">
      <c r="D9" s="91" t="s">
        <v>64</v>
      </c>
      <c r="E9" s="48">
        <v>-460</v>
      </c>
      <c r="F9" s="48">
        <v>102.78219999999999</v>
      </c>
      <c r="G9" s="48">
        <v>33</v>
      </c>
      <c r="H9" s="48">
        <v>-120</v>
      </c>
      <c r="I9" s="48">
        <v>-215.857</v>
      </c>
      <c r="J9" s="48">
        <v>-311</v>
      </c>
      <c r="K9" s="48">
        <v>-60</v>
      </c>
      <c r="L9" s="48">
        <v>-91</v>
      </c>
      <c r="M9" s="48">
        <v>-91.850300000000004</v>
      </c>
      <c r="N9" s="48">
        <v>-5</v>
      </c>
      <c r="O9" s="48">
        <v>-61</v>
      </c>
      <c r="P9" s="48">
        <v>-121</v>
      </c>
      <c r="Q9" s="48">
        <v>-181</v>
      </c>
      <c r="R9" s="48">
        <v>-241</v>
      </c>
      <c r="S9" s="23">
        <v>0</v>
      </c>
      <c r="T9" s="39">
        <f t="shared" si="2"/>
        <v>-1</v>
      </c>
      <c r="U9" s="1"/>
      <c r="V9" s="48">
        <f>I9-H9</f>
        <v>-95.856999999999999</v>
      </c>
      <c r="W9" s="48">
        <f t="shared" si="3"/>
        <v>-95.143000000000001</v>
      </c>
      <c r="X9" s="48">
        <f t="shared" si="4"/>
        <v>-60</v>
      </c>
      <c r="Y9" s="48">
        <f t="shared" si="0"/>
        <v>-31</v>
      </c>
      <c r="Z9" s="48">
        <f>M9-L9</f>
        <v>-0.85030000000000427</v>
      </c>
      <c r="AA9" s="48">
        <f t="shared" si="1"/>
        <v>86.850300000000004</v>
      </c>
      <c r="AB9" s="48">
        <f t="shared" si="5"/>
        <v>-61</v>
      </c>
      <c r="AC9" s="48">
        <f t="shared" si="9"/>
        <v>-60</v>
      </c>
      <c r="AD9" s="48">
        <f t="shared" si="6"/>
        <v>-60</v>
      </c>
      <c r="AE9" s="48">
        <f t="shared" si="7"/>
        <v>-60</v>
      </c>
      <c r="AF9" s="23">
        <f t="shared" si="8"/>
        <v>0</v>
      </c>
    </row>
    <row r="10" spans="2:32" s="3" customFormat="1" ht="15.75" thickBot="1" x14ac:dyDescent="0.3">
      <c r="D10" s="94" t="s">
        <v>59</v>
      </c>
      <c r="E10" s="77">
        <f>SUM(E6:E9)</f>
        <v>8694</v>
      </c>
      <c r="F10" s="77">
        <f>SUM(F6:F9)</f>
        <v>8624.6461006365043</v>
      </c>
      <c r="G10" s="77">
        <f>SUM(G6:G9)</f>
        <v>12347</v>
      </c>
      <c r="H10" s="77">
        <f t="shared" ref="H10:I10" si="10">SUM(H6:H9)</f>
        <v>6096</v>
      </c>
      <c r="I10" s="77">
        <f t="shared" si="10"/>
        <v>5427.2184072479686</v>
      </c>
      <c r="J10" s="77">
        <f t="shared" ref="J10:Q10" si="11">SUM(J6:J9)</f>
        <v>6684</v>
      </c>
      <c r="K10" s="77">
        <f t="shared" si="11"/>
        <v>500</v>
      </c>
      <c r="L10" s="77">
        <f t="shared" si="11"/>
        <v>5090</v>
      </c>
      <c r="M10" s="77">
        <f t="shared" si="11"/>
        <v>8590.3283707111495</v>
      </c>
      <c r="N10" s="77">
        <f t="shared" si="11"/>
        <v>13171</v>
      </c>
      <c r="O10" s="77">
        <f t="shared" ref="O10:P10" si="12">SUM(O6:O9)</f>
        <v>2338</v>
      </c>
      <c r="P10" s="77">
        <f t="shared" si="12"/>
        <v>6312</v>
      </c>
      <c r="Q10" s="77">
        <f t="shared" si="11"/>
        <v>6339</v>
      </c>
      <c r="R10" s="18">
        <f>SUM(R6:R9)</f>
        <v>5729</v>
      </c>
      <c r="S10" s="25">
        <f>SUM(S6:S9)</f>
        <v>529</v>
      </c>
      <c r="T10" s="43">
        <f t="shared" si="2"/>
        <v>-0.7737382378100941</v>
      </c>
      <c r="U10" s="1"/>
      <c r="V10" s="77">
        <f t="shared" ref="V10:AA10" si="13">SUM(V6:V9)</f>
        <v>-668.78159275203143</v>
      </c>
      <c r="W10" s="77">
        <f t="shared" si="13"/>
        <v>1256.7815927520314</v>
      </c>
      <c r="X10" s="77">
        <f t="shared" si="13"/>
        <v>500</v>
      </c>
      <c r="Y10" s="77">
        <f t="shared" si="13"/>
        <v>4590</v>
      </c>
      <c r="Z10" s="77">
        <f>SUM(Z6:Z9)</f>
        <v>3500.3283707111495</v>
      </c>
      <c r="AA10" s="77">
        <f t="shared" si="13"/>
        <v>4580.6716292888505</v>
      </c>
      <c r="AB10" s="77">
        <f t="shared" ref="AB10:AD10" si="14">SUM(AB6:AB9)</f>
        <v>2338</v>
      </c>
      <c r="AC10" s="77">
        <f t="shared" si="14"/>
        <v>3974</v>
      </c>
      <c r="AD10" s="77">
        <f t="shared" si="14"/>
        <v>27</v>
      </c>
      <c r="AE10" s="77">
        <f>SUM(AE6:AE9)</f>
        <v>-610</v>
      </c>
      <c r="AF10" s="126">
        <f>SUM(AF6:AF9)</f>
        <v>529</v>
      </c>
    </row>
    <row r="11" spans="2:32" s="3" customFormat="1" ht="9" customHeight="1" x14ac:dyDescent="0.25">
      <c r="D11" s="2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9"/>
      <c r="U11" s="1"/>
      <c r="V11" s="48"/>
      <c r="W11" s="48"/>
      <c r="X11" s="48"/>
      <c r="Y11" s="48"/>
      <c r="Z11" s="48"/>
      <c r="AA11" s="48"/>
      <c r="AB11" s="48"/>
      <c r="AC11" s="48"/>
    </row>
    <row r="12" spans="2:32" s="3" customFormat="1" x14ac:dyDescent="0.25">
      <c r="D12" s="2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92" t="s">
        <v>51</v>
      </c>
      <c r="U12" s="1"/>
      <c r="V12" s="50"/>
      <c r="W12" s="50"/>
      <c r="X12" s="50"/>
      <c r="Y12" s="50"/>
      <c r="Z12" s="50"/>
      <c r="AA12" s="50"/>
      <c r="AB12" s="50"/>
      <c r="AC12" s="50"/>
      <c r="AF12" s="92" t="s">
        <v>51</v>
      </c>
    </row>
    <row r="13" spans="2:32" s="3" customFormat="1" x14ac:dyDescent="0.25">
      <c r="D13" s="29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1"/>
      <c r="V13" s="50"/>
      <c r="W13" s="50"/>
      <c r="X13" s="50"/>
      <c r="Y13" s="50"/>
      <c r="Z13" s="50"/>
      <c r="AA13" s="50"/>
      <c r="AB13" s="50"/>
      <c r="AC13" s="50"/>
    </row>
    <row r="14" spans="2:32" s="3" customFormat="1" x14ac:dyDescent="0.25">
      <c r="D14" s="27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9"/>
      <c r="U14" s="1"/>
      <c r="V14" s="48"/>
      <c r="W14" s="48"/>
      <c r="X14" s="48"/>
      <c r="Y14" s="48"/>
      <c r="Z14" s="48"/>
      <c r="AA14" s="48"/>
      <c r="AB14" s="48"/>
      <c r="AC14" s="48"/>
    </row>
    <row r="15" spans="2:32" s="3" customFormat="1" ht="15.75" thickBot="1" x14ac:dyDescent="0.3">
      <c r="D15" s="33"/>
      <c r="E15" s="47" t="s">
        <v>6</v>
      </c>
      <c r="F15" s="47" t="s">
        <v>16</v>
      </c>
      <c r="G15" s="47" t="s">
        <v>3</v>
      </c>
      <c r="H15" s="47" t="s">
        <v>17</v>
      </c>
      <c r="I15" s="47" t="s">
        <v>14</v>
      </c>
      <c r="J15" s="47" t="s">
        <v>4</v>
      </c>
      <c r="K15" s="47" t="s">
        <v>21</v>
      </c>
      <c r="L15" s="47" t="s">
        <v>15</v>
      </c>
      <c r="M15" s="47" t="s">
        <v>13</v>
      </c>
      <c r="N15" s="47" t="s">
        <v>19</v>
      </c>
      <c r="O15" s="47" t="s">
        <v>22</v>
      </c>
      <c r="P15" s="47" t="s">
        <v>23</v>
      </c>
      <c r="Q15" s="47" t="s">
        <v>24</v>
      </c>
      <c r="R15" s="47" t="s">
        <v>25</v>
      </c>
      <c r="S15" s="110" t="s">
        <v>26</v>
      </c>
      <c r="T15" s="122" t="s">
        <v>2</v>
      </c>
      <c r="U15" s="1"/>
      <c r="V15" s="47" t="s">
        <v>67</v>
      </c>
      <c r="W15" s="47" t="s">
        <v>68</v>
      </c>
      <c r="X15" s="47" t="s">
        <v>69</v>
      </c>
      <c r="Y15" s="47" t="s">
        <v>70</v>
      </c>
      <c r="Z15" s="47" t="s">
        <v>71</v>
      </c>
      <c r="AA15" s="47" t="s">
        <v>72</v>
      </c>
      <c r="AB15" s="47" t="s">
        <v>73</v>
      </c>
      <c r="AC15" s="47" t="s">
        <v>74</v>
      </c>
      <c r="AD15" s="47" t="s">
        <v>75</v>
      </c>
      <c r="AE15" s="47" t="s">
        <v>76</v>
      </c>
      <c r="AF15" s="110" t="s">
        <v>77</v>
      </c>
    </row>
    <row r="16" spans="2:32" s="3" customFormat="1" x14ac:dyDescent="0.25">
      <c r="D16" s="91" t="s">
        <v>65</v>
      </c>
      <c r="E16" s="49">
        <f>-E7/E6</f>
        <v>0.52177347791268969</v>
      </c>
      <c r="F16" s="49">
        <f t="shared" ref="F16" si="15">-F7/F6</f>
        <v>0.52254440468725705</v>
      </c>
      <c r="G16" s="49">
        <f>-G7/G6</f>
        <v>0.51760179232417691</v>
      </c>
      <c r="H16" s="49">
        <f t="shared" ref="H16:I16" si="16">-H7/H6</f>
        <v>0.52299019969051652</v>
      </c>
      <c r="I16" s="49">
        <f t="shared" si="16"/>
        <v>0.55707220496621823</v>
      </c>
      <c r="J16" s="49">
        <f t="shared" ref="J16:Q16" si="17">-J7/J6</f>
        <v>0.57086762411919745</v>
      </c>
      <c r="K16" s="49">
        <f t="shared" si="17"/>
        <v>0.63701872867785281</v>
      </c>
      <c r="L16" s="49">
        <f t="shared" si="17"/>
        <v>0.57482034178042152</v>
      </c>
      <c r="M16" s="49">
        <f t="shared" si="17"/>
        <v>0.56376616824846848</v>
      </c>
      <c r="N16" s="49">
        <f t="shared" si="17"/>
        <v>0.5543349542694449</v>
      </c>
      <c r="O16" s="49">
        <f t="shared" ref="O16:P16" si="18">-O7/O6</f>
        <v>0.59882817557943802</v>
      </c>
      <c r="P16" s="49">
        <f t="shared" si="18"/>
        <v>0.57414195268243917</v>
      </c>
      <c r="Q16" s="49">
        <f t="shared" si="17"/>
        <v>0.61238336692919926</v>
      </c>
      <c r="R16" s="49">
        <f>-R7/R6</f>
        <v>0.63051333215201966</v>
      </c>
      <c r="S16" s="111">
        <f>-S7/S6</f>
        <v>0.71872912612900419</v>
      </c>
      <c r="T16" s="120">
        <f>(S16-O16)*100</f>
        <v>11.990095054956617</v>
      </c>
      <c r="U16" s="1"/>
      <c r="V16" s="49">
        <f t="shared" ref="V16" si="19">-V7/V6</f>
        <v>0.62249080034863247</v>
      </c>
      <c r="W16" s="49">
        <f>-W7/W6</f>
        <v>0.61017000343536143</v>
      </c>
      <c r="X16" s="49">
        <f t="shared" ref="X16:Y16" si="20">-X7/X6</f>
        <v>0.63701872867785281</v>
      </c>
      <c r="Y16" s="49">
        <f t="shared" si="20"/>
        <v>0.51413043478260867</v>
      </c>
      <c r="Z16" s="49">
        <f t="shared" ref="Z16:AE16" si="21">-Z7/Z6</f>
        <v>0.5424206793289551</v>
      </c>
      <c r="AA16" s="49">
        <f t="shared" si="21"/>
        <v>0.527281537827338</v>
      </c>
      <c r="AB16" s="49">
        <f t="shared" si="21"/>
        <v>0.59882817557943802</v>
      </c>
      <c r="AC16" s="49">
        <f t="shared" si="21"/>
        <v>0.5504061751066015</v>
      </c>
      <c r="AD16" s="49">
        <f t="shared" si="21"/>
        <v>0.68492820806116617</v>
      </c>
      <c r="AE16" s="49">
        <f t="shared" si="21"/>
        <v>0.68251035551449768</v>
      </c>
      <c r="AF16" s="111">
        <f t="shared" ref="AF16" si="22">-AF7/AF6</f>
        <v>0.71872912612900419</v>
      </c>
    </row>
    <row r="17" spans="4:32" s="3" customFormat="1" ht="15.75" thickBot="1" x14ac:dyDescent="0.3">
      <c r="D17" s="91" t="s">
        <v>66</v>
      </c>
      <c r="E17" s="49">
        <f>-(E8+E9)/E6</f>
        <v>0.38414172239897842</v>
      </c>
      <c r="F17" s="49">
        <f t="shared" ref="F17" si="23">-(F8+F9)/F6</f>
        <v>0.36400403948880483</v>
      </c>
      <c r="G17" s="49">
        <f>-(G8+G9)/G6</f>
        <v>0.36212741087083578</v>
      </c>
      <c r="H17" s="49">
        <f t="shared" ref="H17:I17" si="24">-(H8+H9)/H6</f>
        <v>0.36471151720580652</v>
      </c>
      <c r="I17" s="49">
        <f t="shared" si="24"/>
        <v>0.37719517093962135</v>
      </c>
      <c r="J17" s="49">
        <f t="shared" ref="J17:Q17" si="25">-(J8+J9)/J6</f>
        <v>0.36921090850411492</v>
      </c>
      <c r="K17" s="49">
        <f t="shared" si="25"/>
        <v>0.34557543688644432</v>
      </c>
      <c r="L17" s="49">
        <f t="shared" si="25"/>
        <v>0.33767149193687035</v>
      </c>
      <c r="M17" s="49">
        <f t="shared" si="25"/>
        <v>0.33893532223017464</v>
      </c>
      <c r="N17" s="49">
        <f t="shared" si="25"/>
        <v>0.33504665440466291</v>
      </c>
      <c r="O17" s="49">
        <f t="shared" ref="O17:P17" si="26">-(O8+O9)/O6</f>
        <v>0.32548879968923994</v>
      </c>
      <c r="P17" s="49">
        <f t="shared" si="26"/>
        <v>0.32570095682391581</v>
      </c>
      <c r="Q17" s="49">
        <f t="shared" si="25"/>
        <v>0.32175141829970283</v>
      </c>
      <c r="R17" s="49">
        <f>-(R8+R9)/R6</f>
        <v>0.32534919375341875</v>
      </c>
      <c r="S17" s="111">
        <f>-(S8+S9)/S6</f>
        <v>0.26590770481805243</v>
      </c>
      <c r="T17" s="120">
        <f t="shared" ref="T17:T18" si="27">(S17-O17)*100</f>
        <v>-5.958109487118751</v>
      </c>
      <c r="U17" s="1"/>
      <c r="V17" s="49">
        <f t="shared" ref="V17" si="28">-(V8+V9)/V6</f>
        <v>0.40115687993826482</v>
      </c>
      <c r="W17" s="49">
        <f>-(W8+W9)/W6</f>
        <v>0.34646419038556425</v>
      </c>
      <c r="X17" s="49">
        <f t="shared" ref="X17:Y17" si="29">-(X8+X9)/X6</f>
        <v>0.34557543688644432</v>
      </c>
      <c r="Y17" s="49">
        <f t="shared" si="29"/>
        <v>0.32995923913043479</v>
      </c>
      <c r="Z17" s="49">
        <f t="shared" ref="Z17:AE17" si="30">-(Z8+Z9)/Z6</f>
        <v>0.34137576478735854</v>
      </c>
      <c r="AA17" s="49">
        <f t="shared" si="30"/>
        <v>0.32389201934680334</v>
      </c>
      <c r="AB17" s="49">
        <f t="shared" si="30"/>
        <v>0.32548879968923994</v>
      </c>
      <c r="AC17" s="49">
        <f t="shared" si="30"/>
        <v>0.32590494568769646</v>
      </c>
      <c r="AD17" s="49">
        <f t="shared" si="30"/>
        <v>0.3142590530086391</v>
      </c>
      <c r="AE17" s="49">
        <f t="shared" si="30"/>
        <v>0.3356676699347379</v>
      </c>
      <c r="AF17" s="111">
        <f t="shared" ref="AF17" si="31">-(AF8+AF9)/AF6</f>
        <v>0.26590770481805243</v>
      </c>
    </row>
    <row r="18" spans="4:32" s="3" customFormat="1" ht="15.75" thickBot="1" x14ac:dyDescent="0.3">
      <c r="D18" s="94" t="s">
        <v>60</v>
      </c>
      <c r="E18" s="51">
        <f>-(E7+E8+E9)/E6</f>
        <v>0.90591520031166806</v>
      </c>
      <c r="F18" s="51">
        <f t="shared" ref="F18" si="32">-(F7+F8+F9)/F6</f>
        <v>0.88654844417606171</v>
      </c>
      <c r="G18" s="51">
        <f>-(G7+G8+G9)/G6</f>
        <v>0.87972920319501269</v>
      </c>
      <c r="H18" s="51">
        <f t="shared" ref="H18:I18" si="33">-(H7+H8+H9)/H6</f>
        <v>0.88770171689632305</v>
      </c>
      <c r="I18" s="51">
        <f t="shared" si="33"/>
        <v>0.93426737590583953</v>
      </c>
      <c r="J18" s="51">
        <f t="shared" ref="J18:Q18" si="34">-(J7+J8+J9)/J6</f>
        <v>0.94007853262331231</v>
      </c>
      <c r="K18" s="51">
        <f t="shared" si="34"/>
        <v>0.98259416556429713</v>
      </c>
      <c r="L18" s="51">
        <f t="shared" si="34"/>
        <v>0.91249183371729192</v>
      </c>
      <c r="M18" s="51">
        <f t="shared" si="34"/>
        <v>0.90270149047864334</v>
      </c>
      <c r="N18" s="51">
        <f t="shared" si="34"/>
        <v>0.88938160867410787</v>
      </c>
      <c r="O18" s="51">
        <f t="shared" ref="O18:P18" si="35">-(O7+O8+O9)/O6</f>
        <v>0.92431697526867795</v>
      </c>
      <c r="P18" s="51">
        <f t="shared" si="35"/>
        <v>0.89984290950635504</v>
      </c>
      <c r="Q18" s="51">
        <f t="shared" si="34"/>
        <v>0.93413478522890214</v>
      </c>
      <c r="R18" s="51">
        <f>-(R7+R8+R9)/R6</f>
        <v>0.95586252590543841</v>
      </c>
      <c r="S18" s="112">
        <f>-(S7+S8+S9)/S6</f>
        <v>0.98463683094705656</v>
      </c>
      <c r="T18" s="123">
        <f t="shared" si="27"/>
        <v>6.0319855678378609</v>
      </c>
      <c r="U18" s="1"/>
      <c r="V18" s="51">
        <f t="shared" ref="V18" si="36">-(V7+V8+V9)/V6</f>
        <v>1.0236476802868972</v>
      </c>
      <c r="W18" s="51">
        <f>-(W7+W8+W9)/W6</f>
        <v>0.95663419382092563</v>
      </c>
      <c r="X18" s="51">
        <f t="shared" ref="X18:Y18" si="37">-(X7+X8+X9)/X6</f>
        <v>0.98259416556429713</v>
      </c>
      <c r="Y18" s="51">
        <f t="shared" si="37"/>
        <v>0.84408967391304346</v>
      </c>
      <c r="Z18" s="51">
        <f t="shared" ref="Z18:AE18" si="38">-(Z7+Z8+Z9)/Z6</f>
        <v>0.88379644411631353</v>
      </c>
      <c r="AA18" s="51">
        <f t="shared" si="38"/>
        <v>0.85117355717414145</v>
      </c>
      <c r="AB18" s="51">
        <f t="shared" si="38"/>
        <v>0.92431697526867795</v>
      </c>
      <c r="AC18" s="51">
        <f t="shared" si="38"/>
        <v>0.87631112079429796</v>
      </c>
      <c r="AD18" s="51">
        <f t="shared" si="38"/>
        <v>0.99918726106980527</v>
      </c>
      <c r="AE18" s="51">
        <f t="shared" si="38"/>
        <v>1.0181780254492356</v>
      </c>
      <c r="AF18" s="112">
        <f t="shared" ref="AF18" si="39">-(AF7+AF8+AF9)/AF6</f>
        <v>0.98463683094705656</v>
      </c>
    </row>
    <row r="19" spans="4:32" s="3" customFormat="1" x14ac:dyDescent="0.25">
      <c r="D19" s="27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108"/>
      <c r="T19" s="36"/>
      <c r="U19" s="48"/>
    </row>
    <row r="20" spans="4:32" s="3" customFormat="1" x14ac:dyDescent="0.25">
      <c r="S20" s="109"/>
      <c r="T20" s="5"/>
      <c r="U20" s="50"/>
    </row>
  </sheetData>
  <hyperlinks>
    <hyperlink ref="B2" location="'Suplemento Financiero&gt;&gt;&gt;'!A1" display="ÍNDICE" xr:uid="{502C6B02-AE6E-403F-A0F5-B2DDBE4C3C21}"/>
  </hyperlinks>
  <pageMargins left="0.7" right="0.7" top="0.75" bottom="0.75" header="0.3" footer="0.3"/>
  <pageSetup paperSize="9" scale="71" orientation="landscape" r:id="rId1"/>
  <ignoredErrors>
    <ignoredError sqref="R10:S10 E10:Q10" formulaRange="1"/>
    <ignoredError sqref="X5:X10 AB5:AB9" formula="1"/>
    <ignoredError sqref="Q17:Q18 AD16:AD18 Q16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763F1-F0A7-4FEE-AF73-6646F92F86E8}">
  <sheetPr>
    <tabColor theme="2" tint="-9.9978637043366805E-2"/>
  </sheetPr>
  <dimension ref="B1:AF20"/>
  <sheetViews>
    <sheetView showGridLines="0" zoomScaleNormal="100" workbookViewId="0"/>
  </sheetViews>
  <sheetFormatPr baseColWidth="10" defaultColWidth="10.85546875" defaultRowHeight="15" outlineLevelCol="1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customWidth="1"/>
    <col min="16" max="17" width="11" style="4" hidden="1" customWidth="1" outlineLevel="1"/>
    <col min="18" max="18" width="11" style="4" customWidth="1" collapsed="1"/>
    <col min="19" max="20" width="11" style="4" customWidth="1"/>
    <col min="21" max="21" width="3" style="1" customWidth="1"/>
    <col min="22" max="16384" width="10.85546875" style="4"/>
  </cols>
  <sheetData>
    <row r="1" spans="2:32" ht="16.5" customHeight="1" x14ac:dyDescent="0.2"/>
    <row r="2" spans="2:32" ht="18.75" customHeight="1" thickBot="1" x14ac:dyDescent="0.25">
      <c r="B2" s="163" t="s">
        <v>37</v>
      </c>
      <c r="D2" s="19" t="s">
        <v>148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V2" s="19" t="s">
        <v>57</v>
      </c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4" spans="2:32" s="3" customFormat="1" ht="15.75" thickBot="1" x14ac:dyDescent="0.3">
      <c r="D4" s="33"/>
      <c r="E4" s="47" t="s">
        <v>6</v>
      </c>
      <c r="F4" s="47" t="s">
        <v>16</v>
      </c>
      <c r="G4" s="47" t="s">
        <v>3</v>
      </c>
      <c r="H4" s="47" t="s">
        <v>17</v>
      </c>
      <c r="I4" s="47" t="s">
        <v>14</v>
      </c>
      <c r="J4" s="47" t="s">
        <v>4</v>
      </c>
      <c r="K4" s="47" t="s">
        <v>21</v>
      </c>
      <c r="L4" s="47" t="s">
        <v>15</v>
      </c>
      <c r="M4" s="47" t="s">
        <v>13</v>
      </c>
      <c r="N4" s="47" t="s">
        <v>19</v>
      </c>
      <c r="O4" s="47" t="s">
        <v>22</v>
      </c>
      <c r="P4" s="47" t="s">
        <v>23</v>
      </c>
      <c r="Q4" s="47" t="s">
        <v>24</v>
      </c>
      <c r="R4" s="47" t="s">
        <v>25</v>
      </c>
      <c r="S4" s="110" t="s">
        <v>26</v>
      </c>
      <c r="T4" s="128" t="s">
        <v>0</v>
      </c>
      <c r="U4" s="1"/>
      <c r="V4" s="47" t="s">
        <v>67</v>
      </c>
      <c r="W4" s="47" t="s">
        <v>68</v>
      </c>
      <c r="X4" s="47" t="s">
        <v>69</v>
      </c>
      <c r="Y4" s="47" t="s">
        <v>70</v>
      </c>
      <c r="Z4" s="47" t="s">
        <v>71</v>
      </c>
      <c r="AA4" s="47" t="s">
        <v>72</v>
      </c>
      <c r="AB4" s="47" t="s">
        <v>73</v>
      </c>
      <c r="AC4" s="47" t="s">
        <v>74</v>
      </c>
      <c r="AD4" s="47" t="s">
        <v>75</v>
      </c>
      <c r="AE4" s="47" t="s">
        <v>76</v>
      </c>
      <c r="AF4" s="110" t="s">
        <v>77</v>
      </c>
    </row>
    <row r="5" spans="2:32" s="3" customFormat="1" x14ac:dyDescent="0.25">
      <c r="D5" s="27" t="s">
        <v>58</v>
      </c>
      <c r="E5" s="78">
        <v>7518</v>
      </c>
      <c r="F5" s="78">
        <v>12243.391560000002</v>
      </c>
      <c r="G5" s="78">
        <v>15744</v>
      </c>
      <c r="H5" s="78">
        <v>13257.647209999999</v>
      </c>
      <c r="I5" s="78">
        <v>16876.646899999996</v>
      </c>
      <c r="J5" s="78">
        <v>21826</v>
      </c>
      <c r="K5" s="78">
        <v>12002</v>
      </c>
      <c r="L5" s="78">
        <v>16622</v>
      </c>
      <c r="M5" s="78">
        <v>20912.694649999998</v>
      </c>
      <c r="N5" s="78">
        <v>26449</v>
      </c>
      <c r="O5" s="78">
        <v>13760</v>
      </c>
      <c r="P5" s="78">
        <v>18848</v>
      </c>
      <c r="Q5" s="78">
        <v>23304</v>
      </c>
      <c r="R5" s="78">
        <v>29082</v>
      </c>
      <c r="S5" s="124">
        <v>14335</v>
      </c>
      <c r="T5" s="38">
        <f>+S5/O5-1</f>
        <v>4.1787790697674465E-2</v>
      </c>
      <c r="U5" s="1"/>
      <c r="V5" s="78">
        <f>I5-H5</f>
        <v>3618.9996899999969</v>
      </c>
      <c r="W5" s="78">
        <f>J5-I5</f>
        <v>4949.3531000000039</v>
      </c>
      <c r="X5" s="78">
        <f>K5</f>
        <v>12002</v>
      </c>
      <c r="Y5" s="78">
        <f t="shared" ref="Y5:Z9" si="0">L5-K5</f>
        <v>4620</v>
      </c>
      <c r="Z5" s="78">
        <f t="shared" si="0"/>
        <v>4290.6946499999976</v>
      </c>
      <c r="AA5" s="78">
        <f t="shared" ref="AA5:AA9" si="1">N5-M5</f>
        <v>5536.3053500000024</v>
      </c>
      <c r="AB5" s="78">
        <f t="shared" ref="AB5:AB8" si="2">O5</f>
        <v>13760</v>
      </c>
      <c r="AC5" s="78">
        <f>P5-O5</f>
        <v>5088</v>
      </c>
      <c r="AD5" s="78">
        <f>Q5-P5</f>
        <v>4456</v>
      </c>
      <c r="AE5" s="78">
        <f>R5-Q5</f>
        <v>5778</v>
      </c>
      <c r="AF5" s="124">
        <f>S5</f>
        <v>14335</v>
      </c>
    </row>
    <row r="6" spans="2:32" s="3" customFormat="1" x14ac:dyDescent="0.25">
      <c r="D6" s="27" t="s">
        <v>61</v>
      </c>
      <c r="E6" s="78">
        <v>2147</v>
      </c>
      <c r="F6" s="78">
        <v>4759.8379600000044</v>
      </c>
      <c r="G6" s="78">
        <v>748</v>
      </c>
      <c r="H6" s="78">
        <v>4885</v>
      </c>
      <c r="I6" s="78">
        <v>7577.615569999989</v>
      </c>
      <c r="J6" s="78">
        <v>12020</v>
      </c>
      <c r="K6" s="78">
        <v>3056</v>
      </c>
      <c r="L6" s="78">
        <v>6342</v>
      </c>
      <c r="M6" s="78">
        <v>9860.6312800000014</v>
      </c>
      <c r="N6" s="78">
        <v>14981</v>
      </c>
      <c r="O6" s="78">
        <v>3754</v>
      </c>
      <c r="P6" s="78">
        <v>7610</v>
      </c>
      <c r="Q6" s="78">
        <v>11576</v>
      </c>
      <c r="R6" s="78">
        <v>16505</v>
      </c>
      <c r="S6" s="124">
        <v>4002</v>
      </c>
      <c r="T6" s="38">
        <f t="shared" ref="T6:T10" si="3">+S6/O6-1</f>
        <v>6.6062866275972354E-2</v>
      </c>
      <c r="U6" s="1"/>
      <c r="V6" s="78">
        <f>I6-H6</f>
        <v>2692.615569999989</v>
      </c>
      <c r="W6" s="78">
        <f t="shared" ref="W6:W9" si="4">J6-I6</f>
        <v>4442.384430000011</v>
      </c>
      <c r="X6" s="78">
        <f t="shared" ref="X6:X9" si="5">K6</f>
        <v>3056</v>
      </c>
      <c r="Y6" s="78">
        <f t="shared" si="0"/>
        <v>3286</v>
      </c>
      <c r="Z6" s="78">
        <f t="shared" si="0"/>
        <v>3518.6312800000014</v>
      </c>
      <c r="AA6" s="78">
        <f t="shared" si="1"/>
        <v>5120.3687199999986</v>
      </c>
      <c r="AB6" s="78">
        <f t="shared" si="2"/>
        <v>3754</v>
      </c>
      <c r="AC6" s="78">
        <f t="shared" ref="AC6:AC9" si="6">P6-O6</f>
        <v>3856</v>
      </c>
      <c r="AD6" s="78">
        <f t="shared" ref="AD6:AD9" si="7">Q6-P6</f>
        <v>3966</v>
      </c>
      <c r="AE6" s="78">
        <f t="shared" ref="AE6:AE9" si="8">R6-Q6</f>
        <v>4929</v>
      </c>
      <c r="AF6" s="124">
        <f t="shared" ref="AF6:AF9" si="9">S6</f>
        <v>4002</v>
      </c>
    </row>
    <row r="7" spans="2:32" s="3" customFormat="1" x14ac:dyDescent="0.25">
      <c r="D7" s="91" t="s">
        <v>62</v>
      </c>
      <c r="E7" s="48">
        <v>-2866</v>
      </c>
      <c r="F7" s="48">
        <v>-5492.4931738313571</v>
      </c>
      <c r="G7" s="48">
        <v>-7856</v>
      </c>
      <c r="H7" s="48">
        <v>-5258</v>
      </c>
      <c r="I7" s="48">
        <v>-7858.8337416389977</v>
      </c>
      <c r="J7" s="48">
        <v>-10712</v>
      </c>
      <c r="K7" s="48">
        <v>-3153</v>
      </c>
      <c r="L7" s="48">
        <v>-6678</v>
      </c>
      <c r="M7" s="48">
        <v>-9731.433319279995</v>
      </c>
      <c r="N7" s="48">
        <v>-12951</v>
      </c>
      <c r="O7" s="48">
        <v>-3799</v>
      </c>
      <c r="P7" s="48">
        <v>-7530</v>
      </c>
      <c r="Q7" s="48">
        <v>-10535</v>
      </c>
      <c r="R7" s="48">
        <v>-14321</v>
      </c>
      <c r="S7" s="125">
        <v>-3806</v>
      </c>
      <c r="T7" s="39">
        <f t="shared" si="3"/>
        <v>1.8425901553040802E-3</v>
      </c>
      <c r="U7" s="1"/>
      <c r="V7" s="48">
        <f>I7-H7</f>
        <v>-2600.8337416389977</v>
      </c>
      <c r="W7" s="48">
        <f t="shared" si="4"/>
        <v>-2853.1662583610023</v>
      </c>
      <c r="X7" s="48">
        <f t="shared" si="5"/>
        <v>-3153</v>
      </c>
      <c r="Y7" s="48">
        <f t="shared" si="0"/>
        <v>-3525</v>
      </c>
      <c r="Z7" s="48">
        <f t="shared" si="0"/>
        <v>-3053.433319279995</v>
      </c>
      <c r="AA7" s="48">
        <f t="shared" si="1"/>
        <v>-3219.566680720005</v>
      </c>
      <c r="AB7" s="48">
        <f t="shared" si="2"/>
        <v>-3799</v>
      </c>
      <c r="AC7" s="48">
        <f>P7-O7</f>
        <v>-3731</v>
      </c>
      <c r="AD7" s="48">
        <f t="shared" si="7"/>
        <v>-3005</v>
      </c>
      <c r="AE7" s="48">
        <f t="shared" si="8"/>
        <v>-3786</v>
      </c>
      <c r="AF7" s="125">
        <f t="shared" si="9"/>
        <v>-3806</v>
      </c>
    </row>
    <row r="8" spans="2:32" s="3" customFormat="1" x14ac:dyDescent="0.25">
      <c r="D8" s="91" t="s">
        <v>63</v>
      </c>
      <c r="E8" s="48">
        <v>-6083</v>
      </c>
      <c r="F8" s="48">
        <v>-5317.2468838576415</v>
      </c>
      <c r="G8" s="48">
        <v>-9085</v>
      </c>
      <c r="H8" s="48">
        <v>-2166</v>
      </c>
      <c r="I8" s="48">
        <v>-4556.8115809177998</v>
      </c>
      <c r="J8" s="48">
        <v>-8920</v>
      </c>
      <c r="K8" s="48">
        <v>-4</v>
      </c>
      <c r="L8" s="48">
        <v>-2567</v>
      </c>
      <c r="M8" s="48">
        <v>-5210.2223628648017</v>
      </c>
      <c r="N8" s="48">
        <v>-9147</v>
      </c>
      <c r="O8" s="48">
        <v>181</v>
      </c>
      <c r="P8" s="48">
        <v>-2330</v>
      </c>
      <c r="Q8" s="48">
        <v>-5563</v>
      </c>
      <c r="R8" s="48">
        <v>-9327</v>
      </c>
      <c r="S8" s="125">
        <v>-2581</v>
      </c>
      <c r="T8" s="39">
        <f t="shared" si="3"/>
        <v>-15.259668508287293</v>
      </c>
      <c r="U8" s="1"/>
      <c r="V8" s="48">
        <f>I8-H8</f>
        <v>-2390.8115809177998</v>
      </c>
      <c r="W8" s="48">
        <f t="shared" si="4"/>
        <v>-4363.1884190822002</v>
      </c>
      <c r="X8" s="48">
        <f t="shared" si="5"/>
        <v>-4</v>
      </c>
      <c r="Y8" s="48">
        <f t="shared" si="0"/>
        <v>-2563</v>
      </c>
      <c r="Z8" s="48">
        <f t="shared" si="0"/>
        <v>-2643.2223628648017</v>
      </c>
      <c r="AA8" s="48">
        <f t="shared" si="1"/>
        <v>-3936.7776371351983</v>
      </c>
      <c r="AB8" s="48">
        <f t="shared" si="2"/>
        <v>181</v>
      </c>
      <c r="AC8" s="48">
        <f t="shared" si="6"/>
        <v>-2511</v>
      </c>
      <c r="AD8" s="48">
        <f t="shared" si="7"/>
        <v>-3233</v>
      </c>
      <c r="AE8" s="48">
        <f t="shared" si="8"/>
        <v>-3764</v>
      </c>
      <c r="AF8" s="125">
        <f t="shared" si="9"/>
        <v>-2581</v>
      </c>
    </row>
    <row r="9" spans="2:32" s="3" customFormat="1" ht="15.75" thickBot="1" x14ac:dyDescent="0.3">
      <c r="D9" s="91" t="s">
        <v>64</v>
      </c>
      <c r="E9" s="48">
        <v>-240</v>
      </c>
      <c r="F9" s="48">
        <v>-180</v>
      </c>
      <c r="G9" s="48">
        <v>-153</v>
      </c>
      <c r="H9" s="48">
        <v>-121</v>
      </c>
      <c r="I9" s="48">
        <v>-199.06700000000001</v>
      </c>
      <c r="J9" s="48">
        <v>-278</v>
      </c>
      <c r="K9" s="48">
        <v>-60</v>
      </c>
      <c r="L9" s="48">
        <v>-103</v>
      </c>
      <c r="M9" s="48">
        <v>-128.2534</v>
      </c>
      <c r="N9" s="48">
        <v>-93</v>
      </c>
      <c r="O9" s="48">
        <v>-61</v>
      </c>
      <c r="P9" s="48">
        <v>-121</v>
      </c>
      <c r="Q9" s="48">
        <v>-182</v>
      </c>
      <c r="R9" s="48">
        <v>-243</v>
      </c>
      <c r="S9" s="125">
        <v>-1</v>
      </c>
      <c r="T9" s="39">
        <f t="shared" si="3"/>
        <v>-0.98360655737704916</v>
      </c>
      <c r="U9" s="1"/>
      <c r="V9" s="48">
        <f>I9-H9</f>
        <v>-78.067000000000007</v>
      </c>
      <c r="W9" s="48">
        <f t="shared" si="4"/>
        <v>-78.932999999999993</v>
      </c>
      <c r="X9" s="48">
        <f t="shared" si="5"/>
        <v>-60</v>
      </c>
      <c r="Y9" s="48">
        <f t="shared" si="0"/>
        <v>-43</v>
      </c>
      <c r="Z9" s="48">
        <f t="shared" si="0"/>
        <v>-25.253399999999999</v>
      </c>
      <c r="AA9" s="48">
        <f t="shared" si="1"/>
        <v>35.253399999999999</v>
      </c>
      <c r="AB9" s="48">
        <f>O9</f>
        <v>-61</v>
      </c>
      <c r="AC9" s="48">
        <f t="shared" si="6"/>
        <v>-60</v>
      </c>
      <c r="AD9" s="48">
        <f t="shared" si="7"/>
        <v>-61</v>
      </c>
      <c r="AE9" s="48">
        <f t="shared" si="8"/>
        <v>-61</v>
      </c>
      <c r="AF9" s="125">
        <f t="shared" si="9"/>
        <v>-1</v>
      </c>
    </row>
    <row r="10" spans="2:32" s="3" customFormat="1" ht="15.75" thickBot="1" x14ac:dyDescent="0.3">
      <c r="D10" s="94" t="s">
        <v>59</v>
      </c>
      <c r="E10" s="77">
        <f>SUM(E6:E9)</f>
        <v>-7042</v>
      </c>
      <c r="F10" s="77">
        <f>SUM(F6:F9)</f>
        <v>-6229.9020976889942</v>
      </c>
      <c r="G10" s="77">
        <f>SUM(G6:G9)</f>
        <v>-16346</v>
      </c>
      <c r="H10" s="77">
        <f t="shared" ref="H10:I10" si="10">SUM(H6:H9)</f>
        <v>-2660</v>
      </c>
      <c r="I10" s="77">
        <f t="shared" si="10"/>
        <v>-5037.0967525568085</v>
      </c>
      <c r="J10" s="77">
        <f t="shared" ref="J10:Q10" si="11">SUM(J6:J9)</f>
        <v>-7890</v>
      </c>
      <c r="K10" s="77">
        <f t="shared" si="11"/>
        <v>-161</v>
      </c>
      <c r="L10" s="77">
        <f t="shared" si="11"/>
        <v>-3006</v>
      </c>
      <c r="M10" s="77">
        <f t="shared" si="11"/>
        <v>-5209.2778021447948</v>
      </c>
      <c r="N10" s="77">
        <f t="shared" si="11"/>
        <v>-7210</v>
      </c>
      <c r="O10" s="77">
        <f t="shared" ref="O10:P10" si="12">SUM(O6:O9)</f>
        <v>75</v>
      </c>
      <c r="P10" s="77">
        <f t="shared" si="12"/>
        <v>-2371</v>
      </c>
      <c r="Q10" s="77">
        <f t="shared" si="11"/>
        <v>-4704</v>
      </c>
      <c r="R10" s="18">
        <f>SUM(R6:R9)</f>
        <v>-7386</v>
      </c>
      <c r="S10" s="25">
        <f>SUM(S6:S9)</f>
        <v>-2386</v>
      </c>
      <c r="T10" s="43">
        <f t="shared" si="3"/>
        <v>-32.813333333333333</v>
      </c>
      <c r="U10" s="1"/>
      <c r="V10" s="77">
        <f t="shared" ref="V10:AA10" si="13">SUM(V6:V9)</f>
        <v>-2377.0967525568085</v>
      </c>
      <c r="W10" s="77">
        <f t="shared" si="13"/>
        <v>-2852.9032474431915</v>
      </c>
      <c r="X10" s="77">
        <f t="shared" si="13"/>
        <v>-161</v>
      </c>
      <c r="Y10" s="77">
        <f t="shared" si="13"/>
        <v>-2845</v>
      </c>
      <c r="Z10" s="77">
        <f>SUM(Z6:Z9)</f>
        <v>-2203.2778021447953</v>
      </c>
      <c r="AA10" s="77">
        <f t="shared" si="13"/>
        <v>-2000.7221978552047</v>
      </c>
      <c r="AB10" s="77">
        <f t="shared" ref="AB10:AD10" si="14">SUM(AB6:AB9)</f>
        <v>75</v>
      </c>
      <c r="AC10" s="77">
        <f t="shared" si="14"/>
        <v>-2446</v>
      </c>
      <c r="AD10" s="77">
        <f t="shared" si="14"/>
        <v>-2333</v>
      </c>
      <c r="AE10" s="77">
        <f>SUM(AE6:AE9)</f>
        <v>-2682</v>
      </c>
      <c r="AF10" s="126">
        <f>SUM(AF6:AF9)</f>
        <v>-2386</v>
      </c>
    </row>
    <row r="11" spans="2:32" s="3" customFormat="1" ht="9" customHeight="1" x14ac:dyDescent="0.25">
      <c r="D11" s="27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48"/>
      <c r="R11" s="48"/>
      <c r="S11" s="48"/>
      <c r="T11" s="36"/>
      <c r="U11" s="1"/>
      <c r="V11" s="35"/>
      <c r="W11" s="35"/>
      <c r="X11" s="35"/>
      <c r="Y11" s="35"/>
      <c r="Z11" s="35"/>
      <c r="AA11" s="35"/>
      <c r="AB11" s="35"/>
      <c r="AC11" s="35"/>
    </row>
    <row r="12" spans="2:32" s="3" customFormat="1" x14ac:dyDescent="0.25"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50"/>
      <c r="R12" s="50"/>
      <c r="S12" s="50"/>
      <c r="T12" s="92" t="s">
        <v>51</v>
      </c>
      <c r="U12" s="1"/>
      <c r="V12" s="29"/>
      <c r="W12" s="29"/>
      <c r="X12" s="29"/>
      <c r="Y12" s="29"/>
      <c r="Z12" s="29"/>
      <c r="AA12" s="29"/>
      <c r="AB12" s="29"/>
      <c r="AC12" s="29"/>
      <c r="AF12" s="92" t="s">
        <v>51</v>
      </c>
    </row>
    <row r="13" spans="2:32" s="3" customFormat="1" x14ac:dyDescent="0.25"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50"/>
      <c r="R13" s="50"/>
      <c r="S13" s="50"/>
      <c r="T13" s="29"/>
      <c r="U13" s="1"/>
      <c r="V13" s="29"/>
      <c r="W13" s="29"/>
      <c r="X13" s="29"/>
      <c r="Y13" s="29"/>
      <c r="Z13" s="29"/>
      <c r="AA13" s="29"/>
      <c r="AB13" s="29"/>
      <c r="AC13" s="29"/>
    </row>
    <row r="14" spans="2:32" s="3" customFormat="1" x14ac:dyDescent="0.25">
      <c r="D14" s="27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48"/>
      <c r="R14" s="48"/>
      <c r="S14" s="48"/>
      <c r="T14" s="36"/>
      <c r="U14" s="1"/>
      <c r="V14" s="35"/>
      <c r="W14" s="35"/>
      <c r="X14" s="35"/>
      <c r="Y14" s="35"/>
      <c r="Z14" s="35"/>
      <c r="AA14" s="35"/>
      <c r="AB14" s="35"/>
      <c r="AC14" s="35"/>
    </row>
    <row r="15" spans="2:32" s="3" customFormat="1" ht="15.75" thickBot="1" x14ac:dyDescent="0.3">
      <c r="D15" s="33"/>
      <c r="E15" s="47" t="s">
        <v>6</v>
      </c>
      <c r="F15" s="47" t="s">
        <v>16</v>
      </c>
      <c r="G15" s="47" t="s">
        <v>3</v>
      </c>
      <c r="H15" s="47" t="s">
        <v>17</v>
      </c>
      <c r="I15" s="47" t="s">
        <v>14</v>
      </c>
      <c r="J15" s="47" t="s">
        <v>4</v>
      </c>
      <c r="K15" s="47" t="s">
        <v>21</v>
      </c>
      <c r="L15" s="47" t="s">
        <v>15</v>
      </c>
      <c r="M15" s="47" t="s">
        <v>13</v>
      </c>
      <c r="N15" s="47" t="s">
        <v>19</v>
      </c>
      <c r="O15" s="47" t="s">
        <v>22</v>
      </c>
      <c r="P15" s="47" t="s">
        <v>23</v>
      </c>
      <c r="Q15" s="47" t="s">
        <v>24</v>
      </c>
      <c r="R15" s="47" t="s">
        <v>25</v>
      </c>
      <c r="S15" s="110" t="s">
        <v>26</v>
      </c>
      <c r="T15" s="42" t="s">
        <v>2</v>
      </c>
      <c r="U15" s="1"/>
      <c r="V15" s="47" t="s">
        <v>67</v>
      </c>
      <c r="W15" s="47" t="s">
        <v>68</v>
      </c>
      <c r="X15" s="47" t="s">
        <v>69</v>
      </c>
      <c r="Y15" s="47" t="s">
        <v>70</v>
      </c>
      <c r="Z15" s="47" t="s">
        <v>71</v>
      </c>
      <c r="AA15" s="47" t="s">
        <v>72</v>
      </c>
      <c r="AB15" s="47" t="s">
        <v>73</v>
      </c>
      <c r="AC15" s="47" t="s">
        <v>74</v>
      </c>
      <c r="AD15" s="47" t="s">
        <v>75</v>
      </c>
      <c r="AE15" s="47" t="s">
        <v>76</v>
      </c>
      <c r="AF15" s="110" t="s">
        <v>77</v>
      </c>
    </row>
    <row r="16" spans="2:32" s="3" customFormat="1" x14ac:dyDescent="0.25">
      <c r="D16" s="91" t="s">
        <v>65</v>
      </c>
      <c r="E16" s="49">
        <f>-E7/E6</f>
        <v>1.3348858872845832</v>
      </c>
      <c r="F16" s="49">
        <f>-F7/F6</f>
        <v>1.1539244024667075</v>
      </c>
      <c r="G16" s="49">
        <f>-G7/G6</f>
        <v>10.502673796791443</v>
      </c>
      <c r="H16" s="49">
        <f t="shared" ref="H16" si="15">-H7/H6</f>
        <v>1.0763561924257932</v>
      </c>
      <c r="I16" s="49">
        <f t="shared" ref="I16" si="16">-I7/I6</f>
        <v>1.0371116968182392</v>
      </c>
      <c r="J16" s="49">
        <f t="shared" ref="J16:N16" si="17">-J7/J6</f>
        <v>0.89118136439267892</v>
      </c>
      <c r="K16" s="49">
        <f t="shared" si="17"/>
        <v>1.0317408376963351</v>
      </c>
      <c r="L16" s="49">
        <f t="shared" si="17"/>
        <v>1.0529801324503312</v>
      </c>
      <c r="M16" s="49">
        <f t="shared" si="17"/>
        <v>0.98689759742035432</v>
      </c>
      <c r="N16" s="49">
        <f t="shared" si="17"/>
        <v>0.86449502703424341</v>
      </c>
      <c r="O16" s="49">
        <f t="shared" ref="O16:P16" si="18">-O7/O6</f>
        <v>1.0119872136387853</v>
      </c>
      <c r="P16" s="49">
        <f t="shared" si="18"/>
        <v>0.98948751642575561</v>
      </c>
      <c r="Q16" s="49">
        <f>-Q7/Q6</f>
        <v>0.91007256392536284</v>
      </c>
      <c r="R16" s="49">
        <f>-R7/R6</f>
        <v>0.86767646167827928</v>
      </c>
      <c r="S16" s="111">
        <f>-S7/S6</f>
        <v>0.95102448775612192</v>
      </c>
      <c r="T16" s="120">
        <f>(S16-O16)*100</f>
        <v>-6.0962725882663378</v>
      </c>
      <c r="U16" s="1"/>
      <c r="V16" s="49">
        <f t="shared" ref="V16" si="19">-V7/V6</f>
        <v>0.96591350455535263</v>
      </c>
      <c r="W16" s="49">
        <f>-W7/W6</f>
        <v>0.64226009777388748</v>
      </c>
      <c r="X16" s="49">
        <f t="shared" ref="X16:Y16" si="20">-X7/X6</f>
        <v>1.0317408376963351</v>
      </c>
      <c r="Y16" s="49">
        <f t="shared" si="20"/>
        <v>1.0727328058429701</v>
      </c>
      <c r="Z16" s="49">
        <f t="shared" ref="Z16:AE16" si="21">-Z7/Z6</f>
        <v>0.86779007980625744</v>
      </c>
      <c r="AA16" s="49">
        <f t="shared" si="21"/>
        <v>0.62877633560733215</v>
      </c>
      <c r="AB16" s="49">
        <f t="shared" si="21"/>
        <v>1.0119872136387853</v>
      </c>
      <c r="AC16" s="49">
        <f t="shared" si="21"/>
        <v>0.96758298755186722</v>
      </c>
      <c r="AD16" s="49">
        <f t="shared" si="21"/>
        <v>0.75769036812909729</v>
      </c>
      <c r="AE16" s="49">
        <f t="shared" si="21"/>
        <v>0.76810712111990265</v>
      </c>
      <c r="AF16" s="111">
        <f t="shared" ref="AF16" si="22">-AF7/AF6</f>
        <v>0.95102448775612192</v>
      </c>
    </row>
    <row r="17" spans="4:32" s="3" customFormat="1" ht="15.75" thickBot="1" x14ac:dyDescent="0.3">
      <c r="D17" s="91" t="s">
        <v>66</v>
      </c>
      <c r="E17" s="49">
        <f>-(E8+E9)/E6</f>
        <v>2.9450395901257567</v>
      </c>
      <c r="F17" s="49">
        <f>-(F8+F9)/F6</f>
        <v>1.1549231150418482</v>
      </c>
      <c r="G17" s="49">
        <f>-(G8+G9)/G6</f>
        <v>12.350267379679144</v>
      </c>
      <c r="H17" s="49">
        <f t="shared" ref="H17" si="23">-(H8+H9)/H6</f>
        <v>0.46816786079836231</v>
      </c>
      <c r="I17" s="49">
        <f t="shared" ref="I17" si="24">-(I8+I9)/I6</f>
        <v>0.62762204508585362</v>
      </c>
      <c r="J17" s="49">
        <f t="shared" ref="J17:Q17" si="25">-(J8+J9)/J6</f>
        <v>0.7652246256239601</v>
      </c>
      <c r="K17" s="49">
        <f t="shared" si="25"/>
        <v>2.0942408376963352E-2</v>
      </c>
      <c r="L17" s="49">
        <f t="shared" si="25"/>
        <v>0.42100283822138129</v>
      </c>
      <c r="M17" s="49">
        <f t="shared" si="25"/>
        <v>0.54139289983316363</v>
      </c>
      <c r="N17" s="49">
        <f t="shared" si="25"/>
        <v>0.61678125625792668</v>
      </c>
      <c r="O17" s="49">
        <f t="shared" ref="O17:P17" si="26">-(O8+O9)/O6</f>
        <v>-3.1965903036760786E-2</v>
      </c>
      <c r="P17" s="49">
        <f t="shared" si="26"/>
        <v>0.32207621550591325</v>
      </c>
      <c r="Q17" s="49">
        <f t="shared" si="25"/>
        <v>0.49628541810642707</v>
      </c>
      <c r="R17" s="49">
        <f>-(R8+R9)/R6</f>
        <v>0.57982429566797944</v>
      </c>
      <c r="S17" s="111">
        <f>-(S8+S9)/S6</f>
        <v>0.6451774112943528</v>
      </c>
      <c r="T17" s="120">
        <f t="shared" ref="T17:T18" si="27">(S17-O17)*100</f>
        <v>67.714331433111369</v>
      </c>
      <c r="U17" s="1"/>
      <c r="V17" s="49">
        <f t="shared" ref="V17" si="28">-(V8+V9)/V6</f>
        <v>0.91690719181194136</v>
      </c>
      <c r="W17" s="49">
        <f>-(W8+W9)/W6</f>
        <v>0.99994079510182987</v>
      </c>
      <c r="X17" s="49">
        <f t="shared" ref="X17:Y17" si="29">-(X8+X9)/X6</f>
        <v>2.0942408376963352E-2</v>
      </c>
      <c r="Y17" s="49">
        <f t="shared" si="29"/>
        <v>0.79306147291539864</v>
      </c>
      <c r="Z17" s="49">
        <f t="shared" ref="Z17:AE17" si="30">-(Z8+Z9)/Z6</f>
        <v>0.75838459631519006</v>
      </c>
      <c r="AA17" s="49">
        <f t="shared" si="30"/>
        <v>0.76196157942610032</v>
      </c>
      <c r="AB17" s="49">
        <f t="shared" si="30"/>
        <v>-3.1965903036760786E-2</v>
      </c>
      <c r="AC17" s="49">
        <f t="shared" si="30"/>
        <v>0.66675311203319498</v>
      </c>
      <c r="AD17" s="49">
        <f t="shared" si="30"/>
        <v>0.83055975794251136</v>
      </c>
      <c r="AE17" s="49">
        <f t="shared" si="30"/>
        <v>0.77601947656725501</v>
      </c>
      <c r="AF17" s="111">
        <f t="shared" ref="AF17" si="31">-(AF8+AF9)/AF6</f>
        <v>0.6451774112943528</v>
      </c>
    </row>
    <row r="18" spans="4:32" s="3" customFormat="1" ht="15.75" thickBot="1" x14ac:dyDescent="0.3">
      <c r="D18" s="94" t="s">
        <v>60</v>
      </c>
      <c r="E18" s="51">
        <f>-(E7+E8+E9)/E6</f>
        <v>4.2799254774103401</v>
      </c>
      <c r="F18" s="51">
        <f>-(F7+F8+F9)/F6</f>
        <v>2.3088475175085561</v>
      </c>
      <c r="G18" s="51">
        <f>-(G7+G8+G9)/G6</f>
        <v>22.852941176470587</v>
      </c>
      <c r="H18" s="51">
        <f t="shared" ref="H18" si="32">-(H7+H8+H9)/H6</f>
        <v>1.5445240532241555</v>
      </c>
      <c r="I18" s="51">
        <f t="shared" ref="I18" si="33">-(I7+I8+I9)/I6</f>
        <v>1.6647337419040926</v>
      </c>
      <c r="J18" s="51">
        <f t="shared" ref="J18:Q18" si="34">-(J7+J8+J9)/J6</f>
        <v>1.656405990016639</v>
      </c>
      <c r="K18" s="51">
        <f t="shared" si="34"/>
        <v>1.0526832460732984</v>
      </c>
      <c r="L18" s="51">
        <f t="shared" si="34"/>
        <v>1.4739829706717125</v>
      </c>
      <c r="M18" s="51">
        <f t="shared" si="34"/>
        <v>1.5282904972535178</v>
      </c>
      <c r="N18" s="51">
        <f t="shared" si="34"/>
        <v>1.48127628329217</v>
      </c>
      <c r="O18" s="51">
        <f t="shared" ref="O18:P18" si="35">-(O7+O8+O9)/O6</f>
        <v>0.98002131060202446</v>
      </c>
      <c r="P18" s="51">
        <f t="shared" si="35"/>
        <v>1.3115637319316689</v>
      </c>
      <c r="Q18" s="51">
        <f t="shared" si="34"/>
        <v>1.40635798203179</v>
      </c>
      <c r="R18" s="51">
        <f>-(R7+R8+R9)/R6</f>
        <v>1.4475007573462586</v>
      </c>
      <c r="S18" s="112">
        <f>-(S7+S8+S9)/S6</f>
        <v>1.5962018990504747</v>
      </c>
      <c r="T18" s="123">
        <f t="shared" si="27"/>
        <v>61.618058844845024</v>
      </c>
      <c r="U18" s="1"/>
      <c r="V18" s="51">
        <f t="shared" ref="V18" si="36">-(V7+V8+V9)/V6</f>
        <v>1.882820696367294</v>
      </c>
      <c r="W18" s="51">
        <f>-(W7+W8+W9)/W6</f>
        <v>1.6422008928757172</v>
      </c>
      <c r="X18" s="51">
        <f t="shared" ref="X18:Y18" si="37">-(X7+X8+X9)/X6</f>
        <v>1.0526832460732984</v>
      </c>
      <c r="Y18" s="51">
        <f t="shared" si="37"/>
        <v>1.8657942787583688</v>
      </c>
      <c r="Z18" s="51">
        <f t="shared" ref="Z18:AE18" si="38">-(Z7+Z8+Z9)/Z6</f>
        <v>1.6261746761214475</v>
      </c>
      <c r="AA18" s="51">
        <f t="shared" si="38"/>
        <v>1.3907379150334325</v>
      </c>
      <c r="AB18" s="51">
        <f t="shared" si="38"/>
        <v>0.98002131060202446</v>
      </c>
      <c r="AC18" s="51">
        <f t="shared" si="38"/>
        <v>1.6343360995850622</v>
      </c>
      <c r="AD18" s="51">
        <f t="shared" si="38"/>
        <v>1.5882501260716086</v>
      </c>
      <c r="AE18" s="51">
        <f t="shared" si="38"/>
        <v>1.5441265976871577</v>
      </c>
      <c r="AF18" s="112">
        <f t="shared" ref="AF18" si="39">-(AF7+AF8+AF9)/AF6</f>
        <v>1.5962018990504747</v>
      </c>
    </row>
    <row r="19" spans="4:32" s="3" customFormat="1" x14ac:dyDescent="0.25">
      <c r="D19" s="27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  <c r="U19" s="48"/>
    </row>
    <row r="20" spans="4:32" s="3" customFormat="1" x14ac:dyDescent="0.25">
      <c r="T20" s="5"/>
      <c r="U20" s="50"/>
    </row>
  </sheetData>
  <hyperlinks>
    <hyperlink ref="B2" location="'Suplemento Financiero&gt;&gt;&gt;'!A1" display="ÍNDICE" xr:uid="{DAD243BD-5746-457E-9B69-CDB5622921D0}"/>
  </hyperlinks>
  <pageMargins left="0.7" right="0.7" top="0.75" bottom="0.75" header="0.3" footer="0.3"/>
  <pageSetup paperSize="9" scale="71" orientation="landscape" r:id="rId1"/>
  <ignoredErrors>
    <ignoredError sqref="E10:N10 R10:S10 P10:Q10" formulaRange="1"/>
    <ignoredError sqref="O9 U11:AB14 U10:AB10 O5 U5:AB5 O6 U6:AB6 O7 U7:AB7 O8 U8:AB8 U9:AB9 U16:AB18 U15" formula="1"/>
    <ignoredError sqref="O10:O18 T11 Q11:Q14 T13:T15" formula="1" formulaRange="1"/>
    <ignoredError sqref="Q17:Q18" evalError="1" formula="1" formulaRange="1"/>
    <ignoredError sqref="AD16:AD18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2C732-7491-4626-8159-AB756F517F87}">
  <sheetPr>
    <tabColor theme="2" tint="-9.9978637043366805E-2"/>
  </sheetPr>
  <dimension ref="B1:AF22"/>
  <sheetViews>
    <sheetView showGridLines="0" zoomScaleNormal="100" workbookViewId="0"/>
  </sheetViews>
  <sheetFormatPr baseColWidth="10" defaultColWidth="10.85546875" defaultRowHeight="15" outlineLevelCol="1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customWidth="1"/>
    <col min="16" max="17" width="11" style="4" hidden="1" customWidth="1" outlineLevel="1"/>
    <col min="18" max="18" width="11" style="4" customWidth="1" collapsed="1"/>
    <col min="19" max="20" width="11" style="4" customWidth="1"/>
    <col min="21" max="21" width="3" style="1" customWidth="1"/>
    <col min="22" max="16384" width="10.85546875" style="4"/>
  </cols>
  <sheetData>
    <row r="1" spans="2:32" ht="16.5" customHeight="1" x14ac:dyDescent="0.2"/>
    <row r="2" spans="2:32" ht="18.75" customHeight="1" thickBot="1" x14ac:dyDescent="0.25">
      <c r="B2" s="163" t="s">
        <v>37</v>
      </c>
      <c r="D2" s="19" t="s">
        <v>149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V2" s="19" t="s">
        <v>57</v>
      </c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4" spans="2:32" s="3" customFormat="1" ht="15.75" thickBot="1" x14ac:dyDescent="0.3">
      <c r="D4" s="33"/>
      <c r="E4" s="47" t="s">
        <v>6</v>
      </c>
      <c r="F4" s="47" t="s">
        <v>16</v>
      </c>
      <c r="G4" s="47" t="s">
        <v>3</v>
      </c>
      <c r="H4" s="47" t="s">
        <v>17</v>
      </c>
      <c r="I4" s="47" t="s">
        <v>14</v>
      </c>
      <c r="J4" s="47" t="s">
        <v>4</v>
      </c>
      <c r="K4" s="47" t="s">
        <v>21</v>
      </c>
      <c r="L4" s="47" t="s">
        <v>15</v>
      </c>
      <c r="M4" s="47" t="s">
        <v>13</v>
      </c>
      <c r="N4" s="47" t="s">
        <v>19</v>
      </c>
      <c r="O4" s="47" t="s">
        <v>22</v>
      </c>
      <c r="P4" s="47" t="s">
        <v>23</v>
      </c>
      <c r="Q4" s="47" t="s">
        <v>24</v>
      </c>
      <c r="R4" s="47" t="s">
        <v>25</v>
      </c>
      <c r="S4" s="110" t="s">
        <v>26</v>
      </c>
      <c r="T4" s="41" t="s">
        <v>0</v>
      </c>
      <c r="U4" s="1"/>
      <c r="V4" s="47" t="s">
        <v>67</v>
      </c>
      <c r="W4" s="47" t="s">
        <v>68</v>
      </c>
      <c r="X4" s="47" t="s">
        <v>69</v>
      </c>
      <c r="Y4" s="47" t="s">
        <v>70</v>
      </c>
      <c r="Z4" s="47" t="s">
        <v>71</v>
      </c>
      <c r="AA4" s="47" t="s">
        <v>72</v>
      </c>
      <c r="AB4" s="47" t="s">
        <v>73</v>
      </c>
      <c r="AC4" s="47" t="s">
        <v>74</v>
      </c>
      <c r="AD4" s="47" t="s">
        <v>75</v>
      </c>
      <c r="AE4" s="47" t="s">
        <v>76</v>
      </c>
      <c r="AF4" s="110" t="s">
        <v>77</v>
      </c>
    </row>
    <row r="5" spans="2:32" s="3" customFormat="1" x14ac:dyDescent="0.25">
      <c r="D5" s="27" t="s">
        <v>58</v>
      </c>
      <c r="E5" s="78">
        <v>3733</v>
      </c>
      <c r="F5" s="78">
        <v>2922.9176800000005</v>
      </c>
      <c r="G5" s="78">
        <v>3036</v>
      </c>
      <c r="H5" s="78">
        <v>1455.98549</v>
      </c>
      <c r="I5" s="78">
        <v>1458.5712900000001</v>
      </c>
      <c r="J5" s="78">
        <v>1478</v>
      </c>
      <c r="K5" s="78">
        <v>1349</v>
      </c>
      <c r="L5" s="78">
        <v>1363</v>
      </c>
      <c r="M5" s="78">
        <v>1379.12904</v>
      </c>
      <c r="N5" s="78">
        <v>1397</v>
      </c>
      <c r="O5" s="78">
        <v>1061</v>
      </c>
      <c r="P5" s="78">
        <v>1068</v>
      </c>
      <c r="Q5" s="78">
        <v>1082</v>
      </c>
      <c r="R5" s="78">
        <v>1097</v>
      </c>
      <c r="S5" s="124">
        <v>741</v>
      </c>
      <c r="T5" s="38">
        <f>+S5/O5-1</f>
        <v>-0.30160226201696516</v>
      </c>
      <c r="U5" s="1"/>
      <c r="V5" s="78">
        <f>I5-H5</f>
        <v>2.5858000000000629</v>
      </c>
      <c r="W5" s="78">
        <f>J5-I5</f>
        <v>19.42870999999991</v>
      </c>
      <c r="X5" s="12">
        <f t="shared" ref="X5:X9" si="0">K5</f>
        <v>1349</v>
      </c>
      <c r="Y5" s="78">
        <f t="shared" ref="Y5:Z10" si="1">L5-K5</f>
        <v>14</v>
      </c>
      <c r="Z5" s="78">
        <f t="shared" si="1"/>
        <v>16.129040000000032</v>
      </c>
      <c r="AA5" s="78">
        <f t="shared" ref="AA5:AA10" si="2">N5-M5</f>
        <v>17.870959999999968</v>
      </c>
      <c r="AB5" s="78">
        <f t="shared" ref="AB5:AB9" si="3">O5</f>
        <v>1061</v>
      </c>
      <c r="AC5" s="78">
        <f>P5-O5</f>
        <v>7</v>
      </c>
      <c r="AD5" s="78">
        <f>Q5-P5</f>
        <v>14</v>
      </c>
      <c r="AE5" s="78">
        <f>R5-Q5</f>
        <v>15</v>
      </c>
      <c r="AF5" s="22">
        <f>S5</f>
        <v>741</v>
      </c>
    </row>
    <row r="6" spans="2:32" s="3" customFormat="1" x14ac:dyDescent="0.25">
      <c r="D6" s="27" t="s">
        <v>61</v>
      </c>
      <c r="E6" s="78">
        <v>3215</v>
      </c>
      <c r="F6" s="78">
        <v>2324.0937800000011</v>
      </c>
      <c r="G6" s="78">
        <v>3045</v>
      </c>
      <c r="H6" s="78">
        <v>1076.1931599999994</v>
      </c>
      <c r="I6" s="78">
        <v>1494.5009200000009</v>
      </c>
      <c r="J6" s="78">
        <v>2005.9999999999998</v>
      </c>
      <c r="K6" s="78">
        <v>324</v>
      </c>
      <c r="L6" s="78">
        <v>679</v>
      </c>
      <c r="M6" s="78">
        <v>1032.8062699999991</v>
      </c>
      <c r="N6" s="78">
        <v>1388</v>
      </c>
      <c r="O6" s="78">
        <v>481</v>
      </c>
      <c r="P6" s="78">
        <v>737</v>
      </c>
      <c r="Q6" s="78">
        <v>901</v>
      </c>
      <c r="R6" s="78">
        <v>1065</v>
      </c>
      <c r="S6" s="124">
        <v>234</v>
      </c>
      <c r="T6" s="38">
        <f t="shared" ref="T6:T11" si="4">+S6/O6-1</f>
        <v>-0.51351351351351349</v>
      </c>
      <c r="U6" s="1"/>
      <c r="V6" s="78">
        <f>I6-H6</f>
        <v>418.30776000000151</v>
      </c>
      <c r="W6" s="78">
        <f t="shared" ref="W6:W10" si="5">J6-I6</f>
        <v>511.49907999999891</v>
      </c>
      <c r="X6" s="12">
        <f t="shared" si="0"/>
        <v>324</v>
      </c>
      <c r="Y6" s="78">
        <f t="shared" si="1"/>
        <v>355</v>
      </c>
      <c r="Z6" s="78">
        <f t="shared" si="1"/>
        <v>353.80626999999913</v>
      </c>
      <c r="AA6" s="78">
        <f t="shared" si="2"/>
        <v>355.19373000000087</v>
      </c>
      <c r="AB6" s="78">
        <f t="shared" si="3"/>
        <v>481</v>
      </c>
      <c r="AC6" s="78">
        <f t="shared" ref="AC6:AC10" si="6">P6-O6</f>
        <v>256</v>
      </c>
      <c r="AD6" s="78">
        <f t="shared" ref="AD6:AD10" si="7">Q6-P6</f>
        <v>164</v>
      </c>
      <c r="AE6" s="78">
        <f t="shared" ref="AE6:AE10" si="8">R6-Q6</f>
        <v>164</v>
      </c>
      <c r="AF6" s="22">
        <f t="shared" ref="AF6:AF10" si="9">S6</f>
        <v>234</v>
      </c>
    </row>
    <row r="7" spans="2:32" s="3" customFormat="1" x14ac:dyDescent="0.25">
      <c r="D7" s="91" t="s">
        <v>62</v>
      </c>
      <c r="E7" s="48">
        <v>-223</v>
      </c>
      <c r="F7" s="48">
        <v>-236.41472000000036</v>
      </c>
      <c r="G7" s="48">
        <v>-328</v>
      </c>
      <c r="H7" s="48">
        <v>-326.50592000000017</v>
      </c>
      <c r="I7" s="48">
        <v>-416.03276999999957</v>
      </c>
      <c r="J7" s="48">
        <v>-292</v>
      </c>
      <c r="K7" s="48">
        <v>-38</v>
      </c>
      <c r="L7" s="48">
        <v>-32</v>
      </c>
      <c r="M7" s="48">
        <v>-37.001470000000211</v>
      </c>
      <c r="N7" s="13">
        <v>0</v>
      </c>
      <c r="O7" s="48">
        <v>-49</v>
      </c>
      <c r="P7" s="48">
        <v>-21</v>
      </c>
      <c r="Q7" s="48">
        <v>-36</v>
      </c>
      <c r="R7" s="13">
        <v>-10</v>
      </c>
      <c r="S7" s="23">
        <v>-19</v>
      </c>
      <c r="T7" s="39">
        <f t="shared" si="4"/>
        <v>-0.61224489795918369</v>
      </c>
      <c r="U7" s="1"/>
      <c r="V7" s="48">
        <f>I7-H7</f>
        <v>-89.526849999999399</v>
      </c>
      <c r="W7" s="48">
        <f t="shared" si="5"/>
        <v>124.03276999999957</v>
      </c>
      <c r="X7" s="13">
        <f t="shared" si="0"/>
        <v>-38</v>
      </c>
      <c r="Y7" s="48">
        <f t="shared" si="1"/>
        <v>6</v>
      </c>
      <c r="Z7" s="48">
        <f t="shared" si="1"/>
        <v>-5.0014700000002108</v>
      </c>
      <c r="AA7" s="48">
        <f t="shared" si="2"/>
        <v>37.001470000000211</v>
      </c>
      <c r="AB7" s="48">
        <f t="shared" si="3"/>
        <v>-49</v>
      </c>
      <c r="AC7" s="48">
        <f t="shared" si="6"/>
        <v>28</v>
      </c>
      <c r="AD7" s="48">
        <f t="shared" si="7"/>
        <v>-15</v>
      </c>
      <c r="AE7" s="48">
        <f t="shared" si="8"/>
        <v>26</v>
      </c>
      <c r="AF7" s="23">
        <f t="shared" si="9"/>
        <v>-19</v>
      </c>
    </row>
    <row r="8" spans="2:32" s="3" customFormat="1" x14ac:dyDescent="0.25">
      <c r="D8" s="91" t="s">
        <v>100</v>
      </c>
      <c r="E8" s="48">
        <v>-751</v>
      </c>
      <c r="F8" s="48">
        <v>-536.81047999999998</v>
      </c>
      <c r="G8" s="48">
        <v>-724</v>
      </c>
      <c r="H8" s="48">
        <v>-416.92200000000003</v>
      </c>
      <c r="I8" s="48">
        <v>-499.85578000000004</v>
      </c>
      <c r="J8" s="48">
        <v>-708</v>
      </c>
      <c r="K8" s="48">
        <v>-184</v>
      </c>
      <c r="L8" s="48">
        <v>-172</v>
      </c>
      <c r="M8" s="48">
        <v>-386.88099</v>
      </c>
      <c r="N8" s="48">
        <v>-594</v>
      </c>
      <c r="O8" s="48">
        <v>-118</v>
      </c>
      <c r="P8" s="48">
        <v>-235</v>
      </c>
      <c r="Q8" s="48">
        <v>-353</v>
      </c>
      <c r="R8" s="48">
        <v>-637</v>
      </c>
      <c r="S8" s="125">
        <v>-76</v>
      </c>
      <c r="T8" s="39">
        <f t="shared" si="4"/>
        <v>-0.35593220338983056</v>
      </c>
      <c r="U8" s="1"/>
      <c r="V8" s="48">
        <f>I8-H8</f>
        <v>-82.933780000000013</v>
      </c>
      <c r="W8" s="48">
        <f t="shared" si="5"/>
        <v>-208.14421999999996</v>
      </c>
      <c r="X8" s="13">
        <f t="shared" si="0"/>
        <v>-184</v>
      </c>
      <c r="Y8" s="48">
        <f t="shared" si="1"/>
        <v>12</v>
      </c>
      <c r="Z8" s="48">
        <f t="shared" si="1"/>
        <v>-214.88099</v>
      </c>
      <c r="AA8" s="48">
        <f t="shared" si="2"/>
        <v>-207.11901</v>
      </c>
      <c r="AB8" s="48">
        <f t="shared" si="3"/>
        <v>-118</v>
      </c>
      <c r="AC8" s="48">
        <f t="shared" si="6"/>
        <v>-117</v>
      </c>
      <c r="AD8" s="48">
        <f t="shared" si="7"/>
        <v>-118</v>
      </c>
      <c r="AE8" s="48">
        <f t="shared" si="8"/>
        <v>-284</v>
      </c>
      <c r="AF8" s="23">
        <f t="shared" si="9"/>
        <v>-76</v>
      </c>
    </row>
    <row r="9" spans="2:32" s="3" customFormat="1" x14ac:dyDescent="0.25">
      <c r="D9" s="91" t="s">
        <v>63</v>
      </c>
      <c r="E9" s="48">
        <v>-1055</v>
      </c>
      <c r="F9" s="48">
        <v>-546.89414447900003</v>
      </c>
      <c r="G9" s="48">
        <v>-877</v>
      </c>
      <c r="H9" s="48">
        <v>-84.976086649599992</v>
      </c>
      <c r="I9" s="48">
        <v>-199.36252122880001</v>
      </c>
      <c r="J9" s="48">
        <v>-342</v>
      </c>
      <c r="K9" s="48">
        <v>-8</v>
      </c>
      <c r="L9" s="48">
        <v>-10</v>
      </c>
      <c r="M9" s="48">
        <v>-12.3646754888</v>
      </c>
      <c r="N9" s="48">
        <v>-113</v>
      </c>
      <c r="O9" s="48">
        <v>-50</v>
      </c>
      <c r="P9" s="48">
        <v>-76</v>
      </c>
      <c r="Q9" s="48">
        <v>-64</v>
      </c>
      <c r="R9" s="48">
        <v>-66</v>
      </c>
      <c r="S9" s="125">
        <v>-36</v>
      </c>
      <c r="T9" s="39">
        <f t="shared" si="4"/>
        <v>-0.28000000000000003</v>
      </c>
      <c r="U9" s="1"/>
      <c r="V9" s="48">
        <f>I9-H9</f>
        <v>-114.38643457920001</v>
      </c>
      <c r="W9" s="48">
        <f t="shared" si="5"/>
        <v>-142.63747877119999</v>
      </c>
      <c r="X9" s="13">
        <f t="shared" si="0"/>
        <v>-8</v>
      </c>
      <c r="Y9" s="48">
        <f t="shared" si="1"/>
        <v>-2</v>
      </c>
      <c r="Z9" s="48">
        <f t="shared" si="1"/>
        <v>-2.3646754887999997</v>
      </c>
      <c r="AA9" s="48">
        <f t="shared" si="2"/>
        <v>-100.6353245112</v>
      </c>
      <c r="AB9" s="48">
        <f t="shared" si="3"/>
        <v>-50</v>
      </c>
      <c r="AC9" s="48">
        <f t="shared" si="6"/>
        <v>-26</v>
      </c>
      <c r="AD9" s="48">
        <f t="shared" si="7"/>
        <v>12</v>
      </c>
      <c r="AE9" s="48">
        <f t="shared" si="8"/>
        <v>-2</v>
      </c>
      <c r="AF9" s="23">
        <f t="shared" si="9"/>
        <v>-36</v>
      </c>
    </row>
    <row r="10" spans="2:32" s="3" customFormat="1" ht="15.75" thickBot="1" x14ac:dyDescent="0.3">
      <c r="D10" s="91" t="s">
        <v>64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23">
        <v>0</v>
      </c>
      <c r="T10" s="39" t="s">
        <v>7</v>
      </c>
      <c r="U10" s="1"/>
      <c r="V10" s="13">
        <f>I10-H10</f>
        <v>0</v>
      </c>
      <c r="W10" s="13">
        <f t="shared" si="5"/>
        <v>0</v>
      </c>
      <c r="X10" s="13">
        <f>K10</f>
        <v>0</v>
      </c>
      <c r="Y10" s="13">
        <f t="shared" si="1"/>
        <v>0</v>
      </c>
      <c r="Z10" s="13">
        <f t="shared" si="1"/>
        <v>0</v>
      </c>
      <c r="AA10" s="13">
        <f t="shared" si="2"/>
        <v>0</v>
      </c>
      <c r="AB10" s="13">
        <f>O10</f>
        <v>0</v>
      </c>
      <c r="AC10" s="13">
        <f t="shared" si="6"/>
        <v>0</v>
      </c>
      <c r="AD10" s="13">
        <f t="shared" si="7"/>
        <v>0</v>
      </c>
      <c r="AE10" s="48">
        <f t="shared" si="8"/>
        <v>0</v>
      </c>
      <c r="AF10" s="23">
        <f t="shared" si="9"/>
        <v>0</v>
      </c>
    </row>
    <row r="11" spans="2:32" s="3" customFormat="1" ht="15.75" thickBot="1" x14ac:dyDescent="0.3">
      <c r="D11" s="94" t="s">
        <v>59</v>
      </c>
      <c r="E11" s="77">
        <f>SUM(E6:E10)</f>
        <v>1186</v>
      </c>
      <c r="F11" s="77">
        <f>SUM(F6:F10)</f>
        <v>1003.9744355210007</v>
      </c>
      <c r="G11" s="77">
        <f>SUM(G6:G10)</f>
        <v>1116</v>
      </c>
      <c r="H11" s="77">
        <f t="shared" ref="H11:I11" si="10">SUM(H6:H10)</f>
        <v>247.78915335039915</v>
      </c>
      <c r="I11" s="77">
        <f t="shared" si="10"/>
        <v>379.24984877120119</v>
      </c>
      <c r="J11" s="77">
        <f t="shared" ref="J11:Q11" si="11">SUM(J6:J10)</f>
        <v>663.99999999999977</v>
      </c>
      <c r="K11" s="77">
        <f t="shared" si="11"/>
        <v>94</v>
      </c>
      <c r="L11" s="77">
        <f t="shared" si="11"/>
        <v>465</v>
      </c>
      <c r="M11" s="77">
        <f t="shared" si="11"/>
        <v>596.55913451119898</v>
      </c>
      <c r="N11" s="77">
        <f t="shared" si="11"/>
        <v>681</v>
      </c>
      <c r="O11" s="77">
        <f t="shared" ref="O11:P11" si="12">SUM(O6:O10)</f>
        <v>264</v>
      </c>
      <c r="P11" s="77">
        <f t="shared" si="12"/>
        <v>405</v>
      </c>
      <c r="Q11" s="77">
        <f t="shared" si="11"/>
        <v>448</v>
      </c>
      <c r="R11" s="18">
        <f>SUM(R6:R9)</f>
        <v>352</v>
      </c>
      <c r="S11" s="25">
        <f>SUM(S6:S9)</f>
        <v>103</v>
      </c>
      <c r="T11" s="43">
        <f t="shared" si="4"/>
        <v>-0.60984848484848486</v>
      </c>
      <c r="U11" s="1"/>
      <c r="V11" s="77">
        <f t="shared" ref="V11:Y11" si="13">SUM(V6:V10)</f>
        <v>131.4606954208021</v>
      </c>
      <c r="W11" s="77">
        <f t="shared" si="13"/>
        <v>284.75015122879853</v>
      </c>
      <c r="X11" s="77">
        <f t="shared" si="13"/>
        <v>94</v>
      </c>
      <c r="Y11" s="77">
        <f t="shared" si="13"/>
        <v>371</v>
      </c>
      <c r="Z11" s="77">
        <f>SUM(Z6:Z10)</f>
        <v>131.55913451119892</v>
      </c>
      <c r="AA11" s="77">
        <f>SUM(AA6:AA10)</f>
        <v>84.44086548880108</v>
      </c>
      <c r="AB11" s="77">
        <f>SUM(AB6:AB10)</f>
        <v>264</v>
      </c>
      <c r="AC11" s="77">
        <f t="shared" ref="AC11:AD11" si="14">SUM(AC6:AC10)</f>
        <v>141</v>
      </c>
      <c r="AD11" s="77">
        <f t="shared" si="14"/>
        <v>43</v>
      </c>
      <c r="AE11" s="77">
        <f>SUM(AE6:AE10)</f>
        <v>-96</v>
      </c>
      <c r="AF11" s="126">
        <f>SUM(AF6:AF10)</f>
        <v>103</v>
      </c>
    </row>
    <row r="12" spans="2:32" s="3" customFormat="1" ht="9" customHeight="1" x14ac:dyDescent="0.25">
      <c r="D12" s="2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9"/>
      <c r="U12" s="1"/>
    </row>
    <row r="13" spans="2:32" s="3" customFormat="1" x14ac:dyDescent="0.25">
      <c r="D13" s="29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92" t="s">
        <v>51</v>
      </c>
      <c r="U13" s="1"/>
      <c r="AF13" s="92" t="s">
        <v>51</v>
      </c>
    </row>
    <row r="14" spans="2:32" s="3" customFormat="1" x14ac:dyDescent="0.25">
      <c r="D14" s="29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1"/>
    </row>
    <row r="15" spans="2:32" s="3" customFormat="1" x14ac:dyDescent="0.25">
      <c r="D15" s="27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9"/>
      <c r="U15" s="1"/>
    </row>
    <row r="16" spans="2:32" s="3" customFormat="1" ht="15.75" thickBot="1" x14ac:dyDescent="0.3">
      <c r="D16" s="33"/>
      <c r="E16" s="47" t="s">
        <v>6</v>
      </c>
      <c r="F16" s="47" t="s">
        <v>16</v>
      </c>
      <c r="G16" s="47" t="s">
        <v>3</v>
      </c>
      <c r="H16" s="47" t="s">
        <v>17</v>
      </c>
      <c r="I16" s="47" t="s">
        <v>14</v>
      </c>
      <c r="J16" s="47" t="s">
        <v>4</v>
      </c>
      <c r="K16" s="47" t="s">
        <v>21</v>
      </c>
      <c r="L16" s="47" t="s">
        <v>15</v>
      </c>
      <c r="M16" s="47" t="s">
        <v>13</v>
      </c>
      <c r="N16" s="47" t="s">
        <v>19</v>
      </c>
      <c r="O16" s="47" t="s">
        <v>22</v>
      </c>
      <c r="P16" s="47" t="s">
        <v>23</v>
      </c>
      <c r="Q16" s="47" t="s">
        <v>24</v>
      </c>
      <c r="R16" s="47" t="s">
        <v>25</v>
      </c>
      <c r="S16" s="110" t="s">
        <v>26</v>
      </c>
      <c r="T16" s="42" t="s">
        <v>2</v>
      </c>
      <c r="U16" s="1"/>
      <c r="V16" s="47" t="s">
        <v>67</v>
      </c>
      <c r="W16" s="47" t="s">
        <v>68</v>
      </c>
      <c r="X16" s="47" t="s">
        <v>69</v>
      </c>
      <c r="Y16" s="47" t="s">
        <v>70</v>
      </c>
      <c r="Z16" s="47" t="s">
        <v>71</v>
      </c>
      <c r="AA16" s="47" t="s">
        <v>72</v>
      </c>
      <c r="AB16" s="47" t="s">
        <v>73</v>
      </c>
      <c r="AC16" s="47" t="s">
        <v>74</v>
      </c>
      <c r="AD16" s="47" t="s">
        <v>75</v>
      </c>
      <c r="AE16" s="47" t="s">
        <v>76</v>
      </c>
      <c r="AF16" s="110" t="s">
        <v>77</v>
      </c>
    </row>
    <row r="17" spans="4:32" s="3" customFormat="1" x14ac:dyDescent="0.25">
      <c r="D17" s="91" t="s">
        <v>65</v>
      </c>
      <c r="E17" s="49">
        <f>-E7/E6</f>
        <v>6.9362363919129089E-2</v>
      </c>
      <c r="F17" s="49">
        <f>-F7/F6</f>
        <v>0.10172339947486983</v>
      </c>
      <c r="G17" s="49">
        <f>-G7/G6</f>
        <v>0.10771756978653531</v>
      </c>
      <c r="H17" s="49">
        <f t="shared" ref="H17" si="15">-H7/H6</f>
        <v>0.30338970004232363</v>
      </c>
      <c r="I17" s="49">
        <f t="shared" ref="I17" si="16">-I7/I6</f>
        <v>0.27837572023709384</v>
      </c>
      <c r="J17" s="49">
        <f t="shared" ref="J17:Q17" si="17">-J7/J6</f>
        <v>0.14556331006979065</v>
      </c>
      <c r="K17" s="49">
        <f t="shared" si="17"/>
        <v>0.11728395061728394</v>
      </c>
      <c r="L17" s="49">
        <f t="shared" si="17"/>
        <v>4.7128129602356406E-2</v>
      </c>
      <c r="M17" s="49">
        <f t="shared" si="17"/>
        <v>3.5826147724684364E-2</v>
      </c>
      <c r="N17" s="49">
        <f t="shared" si="17"/>
        <v>0</v>
      </c>
      <c r="O17" s="49">
        <f t="shared" ref="O17:P17" si="18">-O7/O6</f>
        <v>0.10187110187110188</v>
      </c>
      <c r="P17" s="49">
        <f t="shared" si="18"/>
        <v>2.8493894165535955E-2</v>
      </c>
      <c r="Q17" s="49">
        <f t="shared" si="17"/>
        <v>3.9955604883462822E-2</v>
      </c>
      <c r="R17" s="49">
        <f>-R7/R6</f>
        <v>9.3896713615023476E-3</v>
      </c>
      <c r="S17" s="111">
        <f>-S7/S6</f>
        <v>8.11965811965812E-2</v>
      </c>
      <c r="T17" s="120">
        <f>(S17-O17)*100</f>
        <v>-2.0674520674520678</v>
      </c>
      <c r="U17" s="1"/>
      <c r="V17" s="49">
        <f t="shared" ref="V17" si="19">-V7/V6</f>
        <v>0.21402148982366256</v>
      </c>
      <c r="W17" s="49">
        <f t="shared" ref="W17:AD17" si="20">-W7/W6</f>
        <v>-0.24248874504329476</v>
      </c>
      <c r="X17" s="49">
        <f t="shared" si="20"/>
        <v>0.11728395061728394</v>
      </c>
      <c r="Y17" s="49">
        <f t="shared" si="20"/>
        <v>-1.6901408450704224E-2</v>
      </c>
      <c r="Z17" s="49">
        <f t="shared" si="20"/>
        <v>1.4136182493318231E-2</v>
      </c>
      <c r="AA17" s="49">
        <f t="shared" si="20"/>
        <v>-0.10417264403850857</v>
      </c>
      <c r="AB17" s="49">
        <f t="shared" ref="AB17:AC17" si="21">-AB7/AB6</f>
        <v>0.10187110187110188</v>
      </c>
      <c r="AC17" s="49">
        <f t="shared" si="21"/>
        <v>-0.109375</v>
      </c>
      <c r="AD17" s="49">
        <f t="shared" si="20"/>
        <v>9.1463414634146339E-2</v>
      </c>
      <c r="AE17" s="49">
        <f>-AE7/AE6</f>
        <v>-0.15853658536585366</v>
      </c>
      <c r="AF17" s="111">
        <f>-AF7/AF6</f>
        <v>8.11965811965812E-2</v>
      </c>
    </row>
    <row r="18" spans="4:32" s="3" customFormat="1" ht="15.75" thickBot="1" x14ac:dyDescent="0.3">
      <c r="D18" s="91" t="s">
        <v>66</v>
      </c>
      <c r="E18" s="49">
        <f>-(E9+E10+E8)/E6</f>
        <v>0.56174183514774489</v>
      </c>
      <c r="F18" s="49">
        <f>-(F9+F10+F8)/F6</f>
        <v>0.46629126320324277</v>
      </c>
      <c r="G18" s="49">
        <f>-(G9+G10+G8)/G6</f>
        <v>0.52577996715927755</v>
      </c>
      <c r="H18" s="49">
        <f t="shared" ref="H18" si="22">-(H9+H10+H8)/H6</f>
        <v>0.46636431572339704</v>
      </c>
      <c r="I18" s="49">
        <f t="shared" ref="I18" si="23">-(I9+I10+I8)/I6</f>
        <v>0.46786073656535432</v>
      </c>
      <c r="J18" s="49">
        <f t="shared" ref="J18:Q18" si="24">-(J9+J10+J8)/J6</f>
        <v>0.52342971086739787</v>
      </c>
      <c r="K18" s="49">
        <f t="shared" si="24"/>
        <v>0.59259259259259256</v>
      </c>
      <c r="L18" s="49">
        <f t="shared" si="24"/>
        <v>0.26804123711340205</v>
      </c>
      <c r="M18" s="49">
        <f t="shared" si="24"/>
        <v>0.38656394435792912</v>
      </c>
      <c r="N18" s="49">
        <f t="shared" si="24"/>
        <v>0.50936599423631124</v>
      </c>
      <c r="O18" s="49">
        <f t="shared" ref="O18:P18" si="25">-(O9+O10+O8)/O6</f>
        <v>0.34927234927234929</v>
      </c>
      <c r="P18" s="49">
        <f t="shared" si="25"/>
        <v>0.42198100407055633</v>
      </c>
      <c r="Q18" s="49">
        <f t="shared" si="24"/>
        <v>0.462819089900111</v>
      </c>
      <c r="R18" s="49">
        <f>-(R8+R9)/R6</f>
        <v>0.66009389671361507</v>
      </c>
      <c r="S18" s="111">
        <f>-(S8+S9)/S6</f>
        <v>0.47863247863247865</v>
      </c>
      <c r="T18" s="120">
        <f t="shared" ref="T18:T19" si="26">(S18-O18)*100</f>
        <v>12.936012936012936</v>
      </c>
      <c r="U18" s="1"/>
      <c r="V18" s="49">
        <f t="shared" ref="V18" si="27">-(V9+V10+V8)/V6</f>
        <v>0.47171062420453136</v>
      </c>
      <c r="W18" s="49">
        <f t="shared" ref="W18:AD18" si="28">-(W9+W10+W8)/W6</f>
        <v>0.68579145591268842</v>
      </c>
      <c r="X18" s="49">
        <f t="shared" si="28"/>
        <v>0.59259259259259256</v>
      </c>
      <c r="Y18" s="49">
        <f t="shared" si="28"/>
        <v>-2.8169014084507043E-2</v>
      </c>
      <c r="Z18" s="49">
        <f t="shared" si="28"/>
        <v>0.61402435148704548</v>
      </c>
      <c r="AA18" s="49">
        <f t="shared" si="28"/>
        <v>0.8664407857402191</v>
      </c>
      <c r="AB18" s="49">
        <f t="shared" ref="AB18:AC18" si="29">-(AB9+AB10+AB8)/AB6</f>
        <v>0.34927234927234929</v>
      </c>
      <c r="AC18" s="49">
        <f t="shared" si="29"/>
        <v>0.55859375</v>
      </c>
      <c r="AD18" s="49">
        <f t="shared" si="28"/>
        <v>0.64634146341463417</v>
      </c>
      <c r="AE18" s="49">
        <f>-(AE9+AE10+AE8)/AE6</f>
        <v>1.7439024390243902</v>
      </c>
      <c r="AF18" s="111">
        <f>-(AF9+AF10+AF8)/AF6</f>
        <v>0.47863247863247865</v>
      </c>
    </row>
    <row r="19" spans="4:32" s="3" customFormat="1" ht="15.75" thickBot="1" x14ac:dyDescent="0.3">
      <c r="D19" s="94" t="s">
        <v>60</v>
      </c>
      <c r="E19" s="51">
        <f>-(E7+E9+E10+E8)/E6</f>
        <v>0.63110419906687398</v>
      </c>
      <c r="F19" s="51">
        <f>-(F7+F9+F10+F8)/F6</f>
        <v>0.56801466267811263</v>
      </c>
      <c r="G19" s="51">
        <f>-(G7+G9+G10+G8)/G6</f>
        <v>0.63349753694581279</v>
      </c>
      <c r="H19" s="51">
        <f t="shared" ref="H19" si="30">-(H7+H9+H10+H8)/H6</f>
        <v>0.76975401576572067</v>
      </c>
      <c r="I19" s="51">
        <f t="shared" ref="I19" si="31">-(I7+I9+I10+I8)/I6</f>
        <v>0.74623645680244821</v>
      </c>
      <c r="J19" s="51">
        <f t="shared" ref="J19:Q19" si="32">-(J7+J9+J10+J8)/J6</f>
        <v>0.66899302093718849</v>
      </c>
      <c r="K19" s="51">
        <f t="shared" si="32"/>
        <v>0.70987654320987659</v>
      </c>
      <c r="L19" s="51">
        <f t="shared" si="32"/>
        <v>0.31516936671575846</v>
      </c>
      <c r="M19" s="51">
        <f t="shared" si="32"/>
        <v>0.42239009208261352</v>
      </c>
      <c r="N19" s="51">
        <f t="shared" si="32"/>
        <v>0.50936599423631124</v>
      </c>
      <c r="O19" s="51">
        <f t="shared" ref="O19:P19" si="33">-(O7+O9+O10+O8)/O6</f>
        <v>0.45114345114345117</v>
      </c>
      <c r="P19" s="51">
        <f t="shared" si="33"/>
        <v>0.45047489823609227</v>
      </c>
      <c r="Q19" s="51">
        <f t="shared" si="32"/>
        <v>0.50277469478357384</v>
      </c>
      <c r="R19" s="51">
        <f>-(R7+R8+R9)/R6</f>
        <v>0.66948356807511733</v>
      </c>
      <c r="S19" s="112">
        <f>-(S7+S8+S9)/S6</f>
        <v>0.55982905982905984</v>
      </c>
      <c r="T19" s="123">
        <f t="shared" si="26"/>
        <v>10.868560868560866</v>
      </c>
      <c r="U19" s="48"/>
      <c r="V19" s="51">
        <f t="shared" ref="V19:Y19" si="34">-(V7+V9+V10+V8)/V6</f>
        <v>0.6857321140281939</v>
      </c>
      <c r="W19" s="51">
        <f t="shared" si="34"/>
        <v>0.44330271086939366</v>
      </c>
      <c r="X19" s="51">
        <f t="shared" si="34"/>
        <v>0.70987654320987659</v>
      </c>
      <c r="Y19" s="51">
        <f t="shared" si="34"/>
        <v>-4.507042253521127E-2</v>
      </c>
      <c r="Z19" s="51">
        <f t="shared" ref="Z19:AE19" si="35">-(Z7+Z9+Z10+Z8)/Z6</f>
        <v>0.62816053398036376</v>
      </c>
      <c r="AA19" s="51">
        <f t="shared" si="35"/>
        <v>0.76226814170171053</v>
      </c>
      <c r="AB19" s="51">
        <f t="shared" si="35"/>
        <v>0.45114345114345117</v>
      </c>
      <c r="AC19" s="51">
        <f t="shared" si="35"/>
        <v>0.44921875</v>
      </c>
      <c r="AD19" s="51">
        <f t="shared" si="35"/>
        <v>0.73780487804878048</v>
      </c>
      <c r="AE19" s="51">
        <f t="shared" si="35"/>
        <v>1.5853658536585367</v>
      </c>
      <c r="AF19" s="112">
        <f t="shared" ref="AF19" si="36">-(AF7+AF9+AF10+AF8)/AF6</f>
        <v>0.55982905982905984</v>
      </c>
    </row>
    <row r="20" spans="4:32" s="3" customFormat="1" x14ac:dyDescent="0.25">
      <c r="D20" s="27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6"/>
      <c r="U20" s="50"/>
    </row>
    <row r="21" spans="4:32" s="3" customFormat="1" x14ac:dyDescent="0.25">
      <c r="T21" s="5"/>
      <c r="U21" s="1"/>
    </row>
    <row r="22" spans="4:32" x14ac:dyDescent="0.2">
      <c r="V22" s="3"/>
      <c r="W22" s="3"/>
      <c r="X22" s="3"/>
      <c r="Y22" s="3"/>
      <c r="Z22" s="3"/>
      <c r="AA22" s="3"/>
      <c r="AB22" s="3"/>
      <c r="AC22" s="3"/>
      <c r="AD22" s="3"/>
      <c r="AE22" s="3"/>
    </row>
  </sheetData>
  <hyperlinks>
    <hyperlink ref="B2" location="'Suplemento Financiero&gt;&gt;&gt;'!A1" display="ÍNDICE" xr:uid="{31846DA0-8067-42E7-82EC-32E0AA7C6AA0}"/>
  </hyperlinks>
  <pageMargins left="0.7" right="0.7" top="0.75" bottom="0.75" header="0.3" footer="0.3"/>
  <pageSetup paperSize="9" scale="71" orientation="landscape" r:id="rId1"/>
  <ignoredErrors>
    <ignoredError sqref="R11:S11 E11:Q11" formulaRange="1"/>
    <ignoredError sqref="X5:X11 AB5:AB11" formula="1"/>
    <ignoredError sqref="Q17:Q18 AD17:AD18 Q19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4547-99F9-47F9-90D5-99492D6518B4}">
  <sheetPr>
    <tabColor theme="2" tint="-0.249977111117893"/>
  </sheetPr>
  <dimension ref="B1:F38"/>
  <sheetViews>
    <sheetView showGridLines="0" zoomScaleNormal="100" workbookViewId="0"/>
  </sheetViews>
  <sheetFormatPr baseColWidth="10" defaultColWidth="11.42578125" defaultRowHeight="15.75" x14ac:dyDescent="0.25"/>
  <cols>
    <col min="1" max="1" width="1.5703125" style="8" customWidth="1"/>
    <col min="2" max="2" width="10.5703125" style="8" customWidth="1"/>
    <col min="3" max="3" width="1.5703125" style="8" customWidth="1"/>
    <col min="4" max="4" width="55.85546875" style="8" bestFit="1" customWidth="1"/>
    <col min="5" max="5" width="13.28515625" style="8" customWidth="1"/>
    <col min="6" max="6" width="13.140625" style="8" bestFit="1" customWidth="1"/>
    <col min="7" max="7" width="11.42578125" style="8"/>
    <col min="8" max="8" width="55.85546875" style="8" bestFit="1" customWidth="1"/>
    <col min="9" max="16384" width="11.42578125" style="8"/>
  </cols>
  <sheetData>
    <row r="1" spans="2:6" ht="16.5" customHeight="1" x14ac:dyDescent="0.25">
      <c r="B1" s="7"/>
    </row>
    <row r="2" spans="2:6" ht="18.75" customHeight="1" thickBot="1" x14ac:dyDescent="0.3">
      <c r="B2" s="163" t="s">
        <v>37</v>
      </c>
      <c r="D2" s="19" t="s">
        <v>56</v>
      </c>
      <c r="E2" s="20"/>
      <c r="F2" s="20"/>
    </row>
    <row r="3" spans="2:6" x14ac:dyDescent="0.25">
      <c r="D3" s="9"/>
      <c r="E3" s="9"/>
      <c r="F3" s="9"/>
    </row>
    <row r="4" spans="2:6" ht="16.5" thickBot="1" x14ac:dyDescent="0.3">
      <c r="D4" s="15" t="s">
        <v>38</v>
      </c>
      <c r="E4" s="16" t="s">
        <v>25</v>
      </c>
      <c r="F4" s="21" t="s">
        <v>26</v>
      </c>
    </row>
    <row r="5" spans="2:6" x14ac:dyDescent="0.25">
      <c r="D5" s="91" t="s">
        <v>39</v>
      </c>
      <c r="E5" s="13">
        <v>51661</v>
      </c>
      <c r="F5" s="23">
        <v>47018</v>
      </c>
    </row>
    <row r="6" spans="2:6" x14ac:dyDescent="0.25">
      <c r="D6" s="91" t="s">
        <v>152</v>
      </c>
      <c r="E6" s="13">
        <v>747472</v>
      </c>
      <c r="F6" s="23">
        <v>772322</v>
      </c>
    </row>
    <row r="7" spans="2:6" x14ac:dyDescent="0.25">
      <c r="D7" s="91" t="s">
        <v>43</v>
      </c>
      <c r="E7" s="13">
        <v>32403</v>
      </c>
      <c r="F7" s="23">
        <v>13184</v>
      </c>
    </row>
    <row r="8" spans="2:6" x14ac:dyDescent="0.25">
      <c r="D8" s="91" t="s">
        <v>153</v>
      </c>
      <c r="E8" s="13">
        <v>21956</v>
      </c>
      <c r="F8" s="23">
        <v>25458</v>
      </c>
    </row>
    <row r="9" spans="2:6" x14ac:dyDescent="0.25">
      <c r="D9" s="91" t="s">
        <v>46</v>
      </c>
      <c r="E9" s="13">
        <v>110044</v>
      </c>
      <c r="F9" s="23">
        <v>109699</v>
      </c>
    </row>
    <row r="10" spans="2:6" x14ac:dyDescent="0.25">
      <c r="D10" s="91" t="s">
        <v>49</v>
      </c>
      <c r="E10" s="13">
        <v>14482</v>
      </c>
      <c r="F10" s="23">
        <v>14670</v>
      </c>
    </row>
    <row r="11" spans="2:6" ht="16.5" thickBot="1" x14ac:dyDescent="0.3">
      <c r="D11" s="91" t="s">
        <v>50</v>
      </c>
      <c r="E11" s="13">
        <v>34438</v>
      </c>
      <c r="F11" s="23">
        <v>36193</v>
      </c>
    </row>
    <row r="12" spans="2:6" ht="16.5" thickBot="1" x14ac:dyDescent="0.3">
      <c r="D12" s="90" t="s">
        <v>150</v>
      </c>
      <c r="E12" s="17">
        <f>SUM(E5:E11)</f>
        <v>1012456</v>
      </c>
      <c r="F12" s="24">
        <f>SUM(F5:F11)</f>
        <v>1018544</v>
      </c>
    </row>
    <row r="13" spans="2:6" ht="6.75" customHeight="1" x14ac:dyDescent="0.25">
      <c r="D13" s="26"/>
    </row>
    <row r="14" spans="2:6" x14ac:dyDescent="0.25">
      <c r="F14" s="92" t="s">
        <v>51</v>
      </c>
    </row>
    <row r="17" spans="4:6" ht="16.5" thickBot="1" x14ac:dyDescent="0.3">
      <c r="D17" s="15" t="s">
        <v>78</v>
      </c>
      <c r="E17" s="16" t="s">
        <v>25</v>
      </c>
      <c r="F17" s="21" t="s">
        <v>26</v>
      </c>
    </row>
    <row r="18" spans="4:6" s="3" customFormat="1" ht="15" x14ac:dyDescent="0.25">
      <c r="D18" s="88" t="s">
        <v>79</v>
      </c>
      <c r="E18" s="12">
        <v>59288</v>
      </c>
      <c r="F18" s="22">
        <v>61034</v>
      </c>
    </row>
    <row r="19" spans="4:6" s="3" customFormat="1" ht="15" x14ac:dyDescent="0.25">
      <c r="D19" s="88" t="s">
        <v>44</v>
      </c>
      <c r="E19" s="12">
        <v>0</v>
      </c>
      <c r="F19" s="22">
        <v>0</v>
      </c>
    </row>
    <row r="20" spans="4:6" x14ac:dyDescent="0.25">
      <c r="D20" s="88" t="s">
        <v>156</v>
      </c>
      <c r="E20" s="12">
        <v>620312</v>
      </c>
      <c r="F20" s="22">
        <v>622973</v>
      </c>
    </row>
    <row r="21" spans="4:6" x14ac:dyDescent="0.25">
      <c r="D21" s="89" t="s">
        <v>155</v>
      </c>
      <c r="E21" s="13">
        <v>285226</v>
      </c>
      <c r="F21" s="23">
        <v>301102</v>
      </c>
    </row>
    <row r="22" spans="4:6" x14ac:dyDescent="0.25">
      <c r="D22" s="89" t="s">
        <v>154</v>
      </c>
      <c r="E22" s="13">
        <v>335087</v>
      </c>
      <c r="F22" s="23">
        <v>321871</v>
      </c>
    </row>
    <row r="23" spans="4:6" x14ac:dyDescent="0.25">
      <c r="D23" s="88" t="s">
        <v>84</v>
      </c>
      <c r="E23" s="12">
        <v>780</v>
      </c>
      <c r="F23" s="22">
        <v>792</v>
      </c>
    </row>
    <row r="24" spans="4:6" ht="16.5" thickBot="1" x14ac:dyDescent="0.3">
      <c r="D24" s="88" t="s">
        <v>85</v>
      </c>
      <c r="E24" s="12">
        <v>31745</v>
      </c>
      <c r="F24" s="22">
        <v>31722</v>
      </c>
    </row>
    <row r="25" spans="4:6" ht="16.5" thickBot="1" x14ac:dyDescent="0.3">
      <c r="D25" s="90" t="s">
        <v>86</v>
      </c>
      <c r="E25" s="18">
        <f>SUM(E18:E20,E23:E24)</f>
        <v>712125</v>
      </c>
      <c r="F25" s="25">
        <f>SUM(F18:F20,F23:F24)</f>
        <v>716521</v>
      </c>
    </row>
    <row r="26" spans="4:6" x14ac:dyDescent="0.25">
      <c r="D26" s="91" t="s">
        <v>87</v>
      </c>
      <c r="E26" s="13">
        <v>324243</v>
      </c>
      <c r="F26" s="23">
        <v>326840</v>
      </c>
    </row>
    <row r="27" spans="4:6" ht="16.5" thickBot="1" x14ac:dyDescent="0.3">
      <c r="D27" s="91" t="s">
        <v>88</v>
      </c>
      <c r="E27" s="13">
        <v>-23912</v>
      </c>
      <c r="F27" s="23">
        <v>-24817</v>
      </c>
    </row>
    <row r="28" spans="4:6" ht="16.5" thickBot="1" x14ac:dyDescent="0.3">
      <c r="D28" s="90" t="s">
        <v>89</v>
      </c>
      <c r="E28" s="18">
        <f t="shared" ref="E28" si="0">SUM(E26:E27)</f>
        <v>300331</v>
      </c>
      <c r="F28" s="25">
        <f t="shared" ref="E28:F28" si="1">SUM(F26:F27)</f>
        <v>302023</v>
      </c>
    </row>
    <row r="29" spans="4:6" ht="16.5" thickBot="1" x14ac:dyDescent="0.3">
      <c r="D29" s="90" t="s">
        <v>151</v>
      </c>
      <c r="E29" s="18">
        <f t="shared" ref="E29" si="2">E28+E25</f>
        <v>1012456</v>
      </c>
      <c r="F29" s="25">
        <f t="shared" ref="F29" si="3">F28+F25</f>
        <v>1018544</v>
      </c>
    </row>
    <row r="30" spans="4:6" ht="6.75" customHeight="1" x14ac:dyDescent="0.25">
      <c r="F30" s="92"/>
    </row>
    <row r="31" spans="4:6" x14ac:dyDescent="0.25">
      <c r="F31" s="92" t="s">
        <v>51</v>
      </c>
    </row>
    <row r="37" s="3" customFormat="1" ht="15" x14ac:dyDescent="0.25"/>
    <row r="38" s="3" customFormat="1" ht="15" x14ac:dyDescent="0.25"/>
  </sheetData>
  <hyperlinks>
    <hyperlink ref="B2" location="'Suplemento Financiero&gt;&gt;&gt;'!A1" display="ÍNDICE" xr:uid="{26DCFF93-53A9-4933-AED0-38638A26CB81}"/>
  </hyperlink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Suplemento Financiero&gt;&gt;&gt;</vt:lpstr>
      <vt:lpstr>Balance</vt:lpstr>
      <vt:lpstr>P&amp;G</vt:lpstr>
      <vt:lpstr>Líneas de Negocio</vt:lpstr>
      <vt:lpstr>Motor</vt:lpstr>
      <vt:lpstr>Hogar</vt:lpstr>
      <vt:lpstr>Salud</vt:lpstr>
      <vt:lpstr>Otros</vt:lpstr>
      <vt:lpstr>Balance - NIIF 17&amp;9</vt:lpstr>
      <vt:lpstr>P&amp;G - NIIF 17&amp;9</vt:lpstr>
      <vt:lpstr>Inversiones</vt:lpstr>
      <vt:lpstr>Solvencia</vt:lpstr>
      <vt:lpstr>Balance!Área_de_impresión</vt:lpstr>
      <vt:lpstr>'Balance - NIIF 17&amp;9'!Área_de_impresión</vt:lpstr>
      <vt:lpstr>Motor!Área_de_impresión</vt:lpstr>
      <vt:lpstr>Otros!Área_de_impresión</vt:lpstr>
      <vt:lpstr>'P&amp;G'!Área_de_impresión</vt:lpstr>
      <vt:lpstr>'P&amp;G - NIIF 17&amp;9'!Área_de_impresión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cp:lastPrinted>2022-02-17T15:34:06Z</cp:lastPrinted>
  <dcterms:created xsi:type="dcterms:W3CDTF">2020-07-27T08:41:45Z</dcterms:created>
  <dcterms:modified xsi:type="dcterms:W3CDTF">2023-10-23T16:20:06Z</dcterms:modified>
</cp:coreProperties>
</file>